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7.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36eda868b4324479" /></Relationships>
</file>

<file path=xl/workbook.xml><?xml version="1.0" encoding="utf-8"?>
<x:workbook xmlns:x="http://schemas.openxmlformats.org/spreadsheetml/2006/main">
  <x:sheets>
    <x:sheet xmlns:r="http://schemas.openxmlformats.org/officeDocument/2006/relationships" name="Command_Center" sheetId="1" r:id="R30f677a51d1a4d40"/>
    <x:sheet xmlns:r="http://schemas.openxmlformats.org/officeDocument/2006/relationships" name="Sales_Detail" sheetId="2" r:id="R07ec68c26a1345d5"/>
    <x:sheet xmlns:r="http://schemas.openxmlformats.org/officeDocument/2006/relationships" name="Product_Master" sheetId="3" r:id="R400cd0e7a0d44f69"/>
    <x:sheet xmlns:r="http://schemas.openxmlformats.org/officeDocument/2006/relationships" name="BOM_Cost" sheetId="4" r:id="R23a78eed86224c41"/>
    <x:sheet xmlns:r="http://schemas.openxmlformats.org/officeDocument/2006/relationships" name="Routing" sheetId="5" r:id="R107d61fb9bee4342"/>
    <x:sheet xmlns:r="http://schemas.openxmlformats.org/officeDocument/2006/relationships" name="Cost_Assumptions" sheetId="6" r:id="Ree67eb6b8e3e4d4f"/>
    <x:sheet xmlns:r="http://schemas.openxmlformats.org/officeDocument/2006/relationships" name="SKU_Profitability" sheetId="7" r:id="R8e9ae14b050c4f40"/>
    <x:sheet xmlns:r="http://schemas.openxmlformats.org/officeDocument/2006/relationships" name="Customer_SKU_Detail" sheetId="8" r:id="R8b723d25dafb42a9"/>
    <x:sheet xmlns:r="http://schemas.openxmlformats.org/officeDocument/2006/relationships" name="Action_List" sheetId="9" r:id="R0661eb79aa204826"/>
    <x:sheet xmlns:r="http://schemas.openxmlformats.org/officeDocument/2006/relationships" name="Checks" sheetId="10" r:id="R07295098d2c746c2"/>
    <x:sheet xmlns:r="http://schemas.openxmlformats.org/officeDocument/2006/relationships" name="README" sheetId="11" r:id="Raf0449255602411e"/>
  </x:sheets>
</x:workbook>
</file>

<file path=xl/comments1.xml><?xml version="1.0" encoding="utf-8"?>
<x:comments xmlns:x="http://schemas.openxmlformats.org/spreadsheetml/2006/main">
  <x:authors>
    <x:author>tc={744CA3D2-81EE-449E-A06F-721E3968B612}</x:author>
    <x:author>tc={96B2B9C2-BAB2-45F3-82D1-0DDD070D3D92}</x:author>
  </x:authors>
  <x:commentList>
    <x:comment ref="B9" authorId="0">
      <x:text>
        <x:r>
          <x:t>[Threaded comment]
Your version of Excel allows you to read this threaded comment; however, any edits to it will get removed if the file is opened in a newer version of Excel. Learn more: https://go.microsoft.com/fwlink/?linkid=870924
Comment:
    Direct labor is treated as 100% variable in this demo. Reducing this factor excludes the non-variable share from contribution margin only; full modeled direct labor remains in manufacturing COGS / gross profit.</x:t>
        </x:r>
      </x:text>
    </x:comment>
    <x:comment ref="D19" authorId="1">
      <x:text>
        <x:r>
          <x:t>[Threaded comment]
Your version of Excel allows you to read this threaded comment; however, any edits to it will get removed if the file is opened in a newer version of Excel. Learn more: https://go.microsoft.com/fwlink/?linkid=870924
Comment:
    Directional fixed manufacturing overhead rate = fixed line pool / practical capacity hours. Contribution margin remains visible because allocated overhead does not automatically disappear if a SKU is changed or discontinued.</x:t>
        </x:r>
      </x:text>
    </x:comment>
  </x:commentList>
</x:comments>
</file>

<file path=xl/comments2.xml><?xml version="1.0" encoding="utf-8"?>
<x:comments xmlns:x="http://schemas.openxmlformats.org/spreadsheetml/2006/main">
  <x:authors>
    <x:author>tc={C213F166-C5A2-421E-8409-B6ACF6FF9E7A}</x:author>
    <x:author>tc={9D084342-1924-4567-A387-86348C67ACA1}</x:author>
    <x:author>tc={1709A80C-1BFB-429E-BCBA-B270AA8E4DE2}</x:author>
    <x:author>tc={2EC0F263-DA63-4D56-824D-68ADBC8BC6DD}</x:author>
    <x:author>tc={620E745E-4FDF-4E1B-B910-301C8A488557}</x:author>
  </x:authors>
  <x:commentList>
    <x:comment ref="T2" authorId="0">
      <x:text>
        <x:r>
          <x:t>[Threaded comment]
Your version of Excel allows you to read this threaded comment; however, any edits to it will get removed if the file is opened in a newer version of Excel. Learn more: https://go.microsoft.com/fwlink/?linkid=870924
Comment:
    Contribution margin = net sales less outbound freight, commissions/fees, annual material cost and variable conversion cost. Direct labor behavior follows Cost_Assumptions.</x:t>
        </x:r>
      </x:text>
    </x:comment>
    <x:comment ref="Y2" authorId="1">
      <x:text>
        <x:r>
          <x:t>[Threaded comment]
Your version of Excel allows you to read this threaded comment; however, any edits to it will get removed if the file is opened in a newer version of Excel. Learn more: https://go.microsoft.com/fwlink/?linkid=870924
Comment:
    Manufacturing COGS includes material, full modeled manufacturing conversion and directional applied fixed manufacturing overhead. The direct-labor variable factor changes contribution margin classification, not gross profit.</x:t>
        </x:r>
      </x:text>
    </x:comment>
    <x:comment ref="X2" authorId="2">
      <x:text>
        <x:r>
          <x:t>[Threaded comment]
Your version of Excel allows you to read this threaded comment; however, any edits to it will get removed if the file is opened in a newer version of Excel. Learn more: https://go.microsoft.com/fwlink/?linkid=870924
Comment:
    Applied fixed manufacturing overhead is directional and policy-dependent. It is kept separate from contribution margin and should not be interpreted as automatically avoidable.</x:t>
        </x:r>
      </x:text>
    </x:comment>
    <x:comment ref="AI2" authorId="3">
      <x:text>
        <x:r>
          <x:t>[Threaded comment]
Your version of Excel allows you to read this threaded comment; however, any edits to it will get removed if the file is opened in a newer version of Excel. Learn more: https://go.microsoft.com/fwlink/?linkid=870924
Comment:
    Review priority order: data quality, strategic role, negative contribution, target-margin gap, setup/batch opportunity, constrained-hour return, protect-and-grow, then monitor.</x:t>
        </x:r>
      </x:text>
    </x:comment>
    <x:comment ref="AK2" authorId="4">
      <x:text>
        <x:r>
          <x:t>[Threaded comment]
Your version of Excel allows you to read this threaded comment; however, any edits to it will get removed if the file is opened in a newer version of Excel. Learn more: https://go.microsoft.com/fwlink/?linkid=870924
Comment:
    Action Sort Key is an internal sorting aid. Category priority dominates, then capped opportunity and negative-contribution tie breakers refine order. It is not a financial metric, forecast or valuation.</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8">
    <x:numFmt numFmtId="200" formatCode="mm/dd/yyyy"/>
    <x:numFmt numFmtId="201" formatCode="#,##0;[Red](#,##0);-"/>
    <x:numFmt numFmtId="202" formatCode="&quot;$&quot;#,##0;[Red](&quot;$&quot;#,##0);-"/>
    <x:numFmt numFmtId="203" formatCode="0.0%;[Red](0.0%);-"/>
    <x:numFmt numFmtId="204" formatCode="0.000"/>
    <x:numFmt numFmtId="205" formatCode="&quot;$&quot;#,##0.00;[Red](&quot;$&quot;#,##0.00);-"/>
    <x:numFmt numFmtId="206" formatCode="#,##0.0;[Red](#,##0.0);-"/>
    <x:numFmt numFmtId="207" formatCode="0"/>
  </x:numFmts>
  <x:fonts count="11">
    <x:font>
      <x:sz val="11"/>
      <x:name val="Carlito"/>
    </x:font>
    <x:font>
      <x:sz val="11"/>
      <x:color rgb="FF0B2538"/>
      <x:name val="Carlito"/>
    </x:font>
    <x:font>
      <x:b/>
      <x:sz val="11"/>
      <x:color rgb="FFFFFFFF"/>
      <x:name val="Carlito"/>
    </x:font>
    <x:font>
      <x:b/>
      <x:i/>
      <x:sz val="11"/>
      <x:color rgb="FFE77B20"/>
      <x:name val="Carlito"/>
    </x:font>
    <x:font>
      <x:b/>
      <x:sz val="11"/>
      <x:color rgb="FF0B2538"/>
      <x:name val="Carlito"/>
    </x:font>
    <x:font>
      <x:sz val="11"/>
      <x:color rgb="FF617382"/>
      <x:name val="Carlito"/>
    </x:font>
    <x:font>
      <x:b/>
      <x:sz val="11"/>
      <x:color rgb="FFC96A12"/>
      <x:name val="Carlito"/>
    </x:font>
    <x:font>
      <x:b/>
      <x:sz val="11"/>
      <x:color rgb="FF2F7D5B"/>
      <x:name val="Carlito"/>
    </x:font>
    <x:font>
      <x:b/>
      <x:sz val="11"/>
      <x:color rgb="FFE77B20"/>
      <x:name val="Carlito"/>
    </x:font>
    <x:font>
      <x:b/>
      <x:sz val="11"/>
      <x:color rgb="FFC7352B"/>
      <x:name val="Carlito"/>
    </x:font>
    <x:font>
      <x:sz val="11"/>
      <x:color rgb="FF0B2538"/>
      <x:name val="Carlito"/>
    </x:font>
  </x:fonts>
  <x:fills count="7">
    <x:fill>
      <x:patternFill patternType="none"/>
    </x:fill>
    <x:fill>
      <x:patternFill patternType="gray125"/>
    </x:fill>
    <x:fill>
      <x:patternFill patternType="solid">
        <x:fgColor rgb="FF0B2538"/>
      </x:patternFill>
    </x:fill>
    <x:fill>
      <x:patternFill patternType="solid">
        <x:fgColor rgb="FFFFFFFF"/>
      </x:patternFill>
    </x:fill>
    <x:fill>
      <x:patternFill patternType="solid">
        <x:fgColor rgb="FFE9EEF1"/>
      </x:patternFill>
    </x:fill>
    <x:fill>
      <x:patternFill patternType="solid">
        <x:fgColor rgb="FFFFF0E2"/>
      </x:patternFill>
    </x:fill>
    <x:fill>
      <x:patternFill patternType="solid">
        <x:fgColor rgb="FFF7F9FA"/>
      </x:patternFill>
    </x:fill>
  </x:fills>
  <x:borders count="31">
    <x:border/>
    <x:border>
      <x:right style="thin">
        <x:color rgb="FFDCE5EA"/>
      </x:right>
      <x:bottom style="thin">
        <x:color rgb="FFE8EEF2"/>
      </x:bottom>
    </x:border>
    <x:border>
      <x:left style="thin">
        <x:color rgb="FFDCE5EA"/>
      </x:left>
      <x:right style="thin">
        <x:color rgb="FFDCE5EA"/>
      </x:right>
      <x:bottom style="thin">
        <x:color rgb="FFE8EEF2"/>
      </x:bottom>
    </x:border>
    <x:border>
      <x:left style="thin">
        <x:color rgb="FFDCE5EA"/>
      </x:left>
      <x:bottom style="thin">
        <x:color rgb="FFE8EEF2"/>
      </x:bottom>
    </x:border>
    <x:border>
      <x:right style="thin">
        <x:color rgb="FFDCE5EA"/>
      </x:right>
      <x:top style="thin">
        <x:color rgb="FFE8EEF2"/>
      </x:top>
      <x:bottom style="thin">
        <x:color rgb="FFE8EEF2"/>
      </x:bottom>
    </x:border>
    <x:border>
      <x:left style="thin">
        <x:color rgb="FFDCE5EA"/>
      </x:left>
      <x:right style="thin">
        <x:color rgb="FFDCE5EA"/>
      </x:right>
      <x:top style="thin">
        <x:color rgb="FFE8EEF2"/>
      </x:top>
      <x:bottom style="thin">
        <x:color rgb="FFE8EEF2"/>
      </x:bottom>
    </x:border>
    <x:border>
      <x:left style="thin">
        <x:color rgb="FFDCE5EA"/>
      </x:left>
      <x:top style="thin">
        <x:color rgb="FFE8EEF2"/>
      </x:top>
      <x:bottom style="thin">
        <x:color rgb="FFE8EEF2"/>
      </x:bottom>
    </x:border>
    <x:border>
      <x:right style="thin">
        <x:color rgb="FFDCE5EA"/>
      </x:right>
      <x:top style="thin">
        <x:color rgb="FFE8EEF2"/>
      </x:top>
    </x:border>
    <x:border>
      <x:left style="thin">
        <x:color rgb="FFDCE5EA"/>
      </x:left>
      <x:right style="thin">
        <x:color rgb="FFDCE5EA"/>
      </x:right>
      <x:top style="thin">
        <x:color rgb="FFE8EEF2"/>
      </x:top>
    </x:border>
    <x:border>
      <x:left style="thin">
        <x:color rgb="FFDCE5EA"/>
      </x:left>
      <x:top style="thin">
        <x:color rgb="FFE8EEF2"/>
      </x:top>
    </x:border>
    <x:border>
      <x:right style="thin">
        <x:color rgb="FFDCE5EA"/>
      </x:right>
      <x:bottom style="thick">
        <x:color rgb="FFE77B20"/>
      </x:bottom>
    </x:border>
    <x:border>
      <x:left style="thin">
        <x:color rgb="FFDCE5EA"/>
      </x:left>
      <x:right style="thin">
        <x:color rgb="FFDCE5EA"/>
      </x:right>
      <x:bottom style="thick">
        <x:color rgb="FFE77B20"/>
      </x:bottom>
    </x:border>
    <x:border>
      <x:bottom style="thick">
        <x:color rgb="FFE77B20"/>
      </x:bottom>
    </x:border>
    <x:border>
      <x:bottom style="thin">
        <x:color rgb="FFBDCAD1"/>
      </x:bottom>
    </x:border>
    <x:border>
      <x:left style="thin">
        <x:color rgb="FFF1B77F"/>
      </x:left>
      <x:right style="thin">
        <x:color rgb="FFF1B77F"/>
      </x:right>
      <x:top style="thin">
        <x:color rgb="FFF1B77F"/>
      </x:top>
    </x:border>
    <x:border>
      <x:left style="thin">
        <x:color rgb="FFF1B77F"/>
      </x:left>
      <x:right style="thin">
        <x:color rgb="FFF1B77F"/>
      </x:right>
    </x:border>
    <x:border>
      <x:left style="thin">
        <x:color rgb="FFF1B77F"/>
      </x:left>
      <x:right style="thin">
        <x:color rgb="FFF1B77F"/>
      </x:right>
      <x:bottom style="thin">
        <x:color rgb="FFF1B77F"/>
      </x:bottom>
    </x:border>
    <x:border>
      <x:left style="thin">
        <x:color rgb="FFF1B77F"/>
      </x:left>
      <x:top style="thin">
        <x:color rgb="FFF1B77F"/>
      </x:top>
    </x:border>
    <x:border>
      <x:right style="thin">
        <x:color rgb="FFF1B77F"/>
      </x:right>
      <x:top style="thin">
        <x:color rgb="FFF1B77F"/>
      </x:top>
    </x:border>
    <x:border>
      <x:left style="thin">
        <x:color rgb="FFF1B77F"/>
      </x:left>
      <x:bottom style="thin">
        <x:color rgb="FFF1B77F"/>
      </x:bottom>
    </x:border>
    <x:border>
      <x:right style="thin">
        <x:color rgb="FFF1B77F"/>
      </x:right>
      <x:bottom style="thin">
        <x:color rgb="FFF1B77F"/>
      </x:bottom>
    </x:border>
    <x:border>
      <x:top style="medium">
        <x:color rgb="FFBDCAD1"/>
      </x:top>
    </x:border>
    <x:border>
      <x:top style="thick">
        <x:color rgb="FFE77B20"/>
      </x:top>
    </x:border>
    <x:border>
      <x:left style="thin">
        <x:color rgb="FFBDCAD1"/>
      </x:left>
      <x:top style="thin">
        <x:color rgb="FFBDCAD1"/>
      </x:top>
    </x:border>
    <x:border>
      <x:top style="thin">
        <x:color rgb="FFBDCAD1"/>
      </x:top>
    </x:border>
    <x:border>
      <x:right style="thin">
        <x:color rgb="FFBDCAD1"/>
      </x:right>
      <x:top style="thin">
        <x:color rgb="FFBDCAD1"/>
      </x:top>
    </x:border>
    <x:border>
      <x:left style="thin">
        <x:color rgb="FFBDCAD1"/>
      </x:left>
      <x:bottom style="thin">
        <x:color rgb="FFBDCAD1"/>
      </x:bottom>
    </x:border>
    <x:border>
      <x:right style="thin">
        <x:color rgb="FFBDCAD1"/>
      </x:right>
      <x:bottom style="thin">
        <x:color rgb="FFBDCAD1"/>
      </x:bottom>
    </x:border>
    <x:border>
      <x:right style="thin">
        <x:color rgb="FFDCE5EA"/>
      </x:right>
      <x:top style="thin">
        <x:color rgb="FFE8EEF2"/>
      </x:top>
      <x:bottom style="thick">
        <x:color rgb="FFE77B20"/>
      </x:bottom>
    </x:border>
    <x:border>
      <x:left style="thin">
        <x:color rgb="FFDCE5EA"/>
      </x:left>
      <x:right style="thin">
        <x:color rgb="FFDCE5EA"/>
      </x:right>
      <x:top style="thin">
        <x:color rgb="FFE8EEF2"/>
      </x:top>
      <x:bottom style="thick">
        <x:color rgb="FFE77B20"/>
      </x:bottom>
    </x:border>
    <x:border>
      <x:left style="thin">
        <x:color rgb="FFDCE5EA"/>
      </x:left>
      <x:top style="thin">
        <x:color rgb="FFE8EEF2"/>
      </x:top>
      <x:bottom style="thick">
        <x:color rgb="FFE77B20"/>
      </x:bottom>
    </x:border>
  </x:borders>
  <x:cellStyleXfs count="1">
    <x:xf numFmtId="0" fontId="0" fillId="0" borderId="0"/>
  </x:cellStyleXfs>
  <x:cellXfs count="24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2" xfId="0" applyNumberFormat="1" applyFont="1" applyFill="1" applyBorder="1" applyAlignment="1">
      <x:alignment vertical="center"/>
    </x:xf>
    <x:xf numFmtId="0" fontId="1" fillId="0" borderId="3" xfId="0" applyNumberFormat="1" applyFont="1" applyFill="1" applyBorder="1" applyAlignment="1">
      <x:alignment vertical="center"/>
    </x:xf>
    <x:xf numFmtId="0" fontId="1" fillId="0" borderId="4" xfId="0" applyNumberFormat="1" applyFont="1" applyFill="1" applyBorder="1" applyAlignment="1">
      <x:alignment vertical="center"/>
    </x:xf>
    <x:xf numFmtId="0" fontId="1" fillId="0" borderId="5" xfId="0" applyNumberFormat="1" applyFont="1" applyFill="1" applyBorder="1" applyAlignment="1">
      <x:alignment vertical="center"/>
    </x:xf>
    <x:xf numFmtId="0" fontId="1" fillId="0" borderId="6" xfId="0" applyNumberFormat="1" applyFont="1" applyFill="1" applyBorder="1" applyAlignment="1">
      <x:alignment vertical="center"/>
    </x:xf>
    <x:xf numFmtId="0" fontId="1" fillId="0" borderId="7" xfId="0" applyNumberFormat="1" applyFont="1" applyFill="1" applyBorder="1" applyAlignment="1">
      <x:alignment vertical="center"/>
    </x:xf>
    <x:xf numFmtId="0" fontId="1" fillId="0" borderId="8" xfId="0" applyNumberFormat="1" applyFont="1" applyFill="1" applyBorder="1" applyAlignment="1">
      <x:alignment vertical="center"/>
    </x:xf>
    <x:xf numFmtId="0" fontId="1" fillId="0" borderId="9" xfId="0" applyNumberFormat="1" applyFont="1" applyFill="1" applyBorder="1" applyAlignment="1">
      <x:alignment vertical="center"/>
    </x:xf>
    <x:xf numFmtId="0" fontId="1" fillId="2" borderId="1" xfId="0" applyNumberFormat="1" applyFont="1" applyFill="1" applyBorder="1" applyAlignment="1">
      <x:alignment vertical="center"/>
    </x:xf>
    <x:xf numFmtId="0" fontId="1" fillId="2" borderId="2" xfId="0" applyNumberFormat="1" applyFont="1" applyFill="1" applyBorder="1" applyAlignment="1">
      <x:alignment vertical="center"/>
    </x:xf>
    <x:xf numFmtId="0" fontId="1" fillId="2" borderId="3" xfId="0" applyNumberFormat="1" applyFont="1" applyFill="1" applyBorder="1" applyAlignment="1">
      <x:alignment vertical="center"/>
    </x:xf>
    <x:xf numFmtId="0" fontId="2" fillId="2" borderId="1" xfId="0" applyNumberFormat="1" applyFont="1" applyFill="1" applyBorder="1" applyAlignment="1">
      <x:alignment vertical="center"/>
    </x:xf>
    <x:xf numFmtId="0" fontId="2" fillId="2" borderId="2" xfId="0" applyNumberFormat="1" applyFont="1" applyFill="1" applyBorder="1" applyAlignment="1">
      <x:alignment vertical="center"/>
    </x:xf>
    <x:xf numFmtId="0" fontId="2" fillId="2" borderId="3" xfId="0" applyNumberFormat="1" applyFont="1" applyFill="1" applyBorder="1" applyAlignment="1">
      <x:alignment vertical="center"/>
    </x:xf>
    <x:xf numFmtId="0" fontId="2" fillId="2" borderId="10" xfId="0" applyNumberFormat="1" applyFont="1" applyFill="1" applyBorder="1" applyAlignment="1">
      <x:alignment vertical="center"/>
    </x:xf>
    <x:xf numFmtId="0" fontId="2" fillId="2" borderId="11" xfId="0" applyNumberFormat="1" applyFont="1" applyFill="1" applyBorder="1" applyAlignment="1">
      <x:alignment vertical="center"/>
    </x:xf>
    <x:xf numFmtId="0" fontId="2" fillId="2" borderId="10" xfId="0" applyNumberFormat="1" applyFont="1" applyFill="1" applyBorder="1" applyAlignment="1">
      <x:alignment vertical="center" wrapText="1"/>
    </x:xf>
    <x:xf numFmtId="0" fontId="2" fillId="2" borderId="11" xfId="0" applyNumberFormat="1" applyFont="1" applyFill="1" applyBorder="1" applyAlignment="1">
      <x:alignment vertical="center" wrapText="1"/>
    </x:xf>
    <x:xf numFmtId="200" fontId="1" fillId="0" borderId="4" xfId="0" applyNumberFormat="1" applyFont="1" applyFill="1" applyBorder="1" applyAlignment="1">
      <x:alignment vertical="center"/>
    </x:xf>
    <x:xf numFmtId="200" fontId="1" fillId="0" borderId="7" xfId="0" applyNumberFormat="1" applyFont="1" applyFill="1" applyBorder="1" applyAlignment="1">
      <x:alignment vertical="center"/>
    </x:xf>
    <x:xf numFmtId="201" fontId="1" fillId="0" borderId="5" xfId="0" applyNumberFormat="1" applyFont="1" applyFill="1" applyBorder="1" applyAlignment="1">
      <x:alignment vertical="center"/>
    </x:xf>
    <x:xf numFmtId="201" fontId="1" fillId="0" borderId="8" xfId="0" applyNumberFormat="1" applyFont="1" applyFill="1" applyBorder="1" applyAlignment="1">
      <x:alignment vertical="center"/>
    </x:xf>
    <x:xf numFmtId="202" fontId="1" fillId="0" borderId="5" xfId="0" applyNumberFormat="1" applyFont="1" applyFill="1" applyBorder="1" applyAlignment="1">
      <x:alignment vertical="center"/>
    </x:xf>
    <x:xf numFmtId="202" fontId="1" fillId="0" borderId="6" xfId="0" applyNumberFormat="1" applyFont="1" applyFill="1" applyBorder="1" applyAlignment="1">
      <x:alignment vertical="center"/>
    </x:xf>
    <x:xf numFmtId="202" fontId="1" fillId="0" borderId="8" xfId="0" applyNumberFormat="1" applyFont="1" applyFill="1" applyBorder="1" applyAlignment="1">
      <x:alignment vertical="center"/>
    </x:xf>
    <x:xf numFmtId="202" fontId="1" fillId="0" borderId="9" xfId="0" applyNumberFormat="1" applyFont="1" applyFill="1" applyBorder="1" applyAlignment="1">
      <x:alignment vertical="center"/>
    </x:xf>
    <x:xf numFmtId="203" fontId="1" fillId="0" borderId="5" xfId="0" applyNumberFormat="1" applyFont="1" applyFill="1" applyBorder="1" applyAlignment="1">
      <x:alignment vertical="center"/>
    </x:xf>
    <x:xf numFmtId="203" fontId="1" fillId="0" borderId="8" xfId="0" applyNumberFormat="1" applyFont="1" applyFill="1" applyBorder="1" applyAlignment="1">
      <x:alignment vertical="center"/>
    </x:xf>
    <x:xf numFmtId="204" fontId="1" fillId="0" borderId="5" xfId="0" applyNumberFormat="1" applyFont="1" applyFill="1" applyBorder="1" applyAlignment="1">
      <x:alignment vertical="center"/>
    </x:xf>
    <x:xf numFmtId="204" fontId="1" fillId="0" borderId="8" xfId="0" applyNumberFormat="1" applyFont="1" applyFill="1" applyBorder="1" applyAlignment="1">
      <x:alignment vertical="center"/>
    </x:xf>
    <x:xf numFmtId="205" fontId="1" fillId="0" borderId="5" xfId="0" applyNumberFormat="1" applyFont="1" applyFill="1" applyBorder="1" applyAlignment="1">
      <x:alignment vertical="center"/>
    </x:xf>
    <x:xf numFmtId="205" fontId="1" fillId="0" borderId="8" xfId="0" applyNumberFormat="1" applyFont="1" applyFill="1" applyBorder="1" applyAlignment="1">
      <x:alignment vertical="center"/>
    </x:xf>
    <x:xf numFmtId="205" fontId="1" fillId="0" borderId="6" xfId="0" applyNumberFormat="1" applyFont="1" applyFill="1" applyBorder="1" applyAlignment="1">
      <x:alignment vertical="center"/>
    </x:xf>
    <x:xf numFmtId="205" fontId="1" fillId="0" borderId="9" xfId="0" applyNumberFormat="1" applyFont="1" applyFill="1" applyBorder="1" applyAlignment="1">
      <x:alignment vertical="center"/>
    </x:xf>
    <x:xf numFmtId="0" fontId="0" fillId="2" borderId="0" xfId="0" applyNumberFormat="1" applyFont="1" applyFill="1" applyBorder="1"/>
    <x:xf numFmtId="0" fontId="2" fillId="2" borderId="0" xfId="0" applyNumberFormat="1" applyFont="1" applyFill="1" applyBorder="1"/>
    <x:xf numFmtId="0" fontId="2" fillId="2" borderId="12" xfId="0" applyNumberFormat="1" applyFont="1" applyFill="1" applyBorder="1"/>
    <x:xf numFmtId="0" fontId="2" fillId="2" borderId="12" xfId="0" applyNumberFormat="1" applyFont="1" applyFill="1" applyBorder="1" applyAlignment="1">
      <x:alignment vertic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vertical="center"/>
    </x:xf>
    <x:xf numFmtId="0" fontId="2" fillId="2" borderId="12" xfId="0" applyNumberFormat="1" applyFont="1" applyFill="1" applyBorder="1" applyAlignment="1">
      <x:alignment wrapText="1"/>
    </x:xf>
    <x:xf numFmtId="0" fontId="2" fillId="2" borderId="12" xfId="0" applyNumberFormat="1" applyFont="1" applyFill="1" applyBorder="1" applyAlignment="1">
      <x:alignment vertical="center" wrapText="1"/>
    </x:xf>
    <x:xf numFmtId="0" fontId="0" fillId="4" borderId="0" xfId="0" applyNumberFormat="1" applyFont="1" applyFill="1" applyBorder="1"/>
    <x:xf numFmtId="0" fontId="4" fillId="4" borderId="0" xfId="0" applyNumberFormat="1" applyFont="1" applyFill="1" applyBorder="1"/>
    <x:xf numFmtId="0" fontId="4" fillId="4" borderId="13" xfId="0" applyNumberFormat="1" applyFont="1" applyFill="1" applyBorder="1"/>
    <x:xf numFmtId="0" fontId="5" fillId="3" borderId="0" xfId="0" applyNumberFormat="1" applyFont="1" applyFill="1" applyBorder="1"/>
    <x:xf numFmtId="0" fontId="5" fillId="3" borderId="13" xfId="0" applyNumberFormat="1" applyFont="1" applyFill="1" applyBorder="1"/>
    <x:xf numFmtId="0" fontId="5" fillId="3" borderId="0" xfId="0" applyNumberFormat="1" applyFont="1" applyFill="1" applyBorder="1" applyAlignment="1">
      <x:alignment wrapText="1"/>
    </x:xf>
    <x:xf numFmtId="0" fontId="5" fillId="3" borderId="13" xfId="0" applyNumberFormat="1" applyFont="1" applyFill="1" applyBorder="1" applyAlignment="1">
      <x:alignment wrapText="1"/>
    </x:xf>
    <x:xf numFmtId="0" fontId="5" fillId="5" borderId="0" xfId="0" applyNumberFormat="1" applyFont="1" applyFill="1" applyBorder="1" applyAlignment="1">
      <x:alignment wrapText="1"/>
    </x:xf>
    <x:xf numFmtId="0" fontId="5" fillId="5" borderId="13" xfId="0" applyNumberFormat="1" applyFont="1" applyFill="1" applyBorder="1" applyAlignment="1">
      <x:alignment wrapText="1"/>
    </x:xf>
    <x:xf numFmtId="0" fontId="6" fillId="5" borderId="0" xfId="0" applyNumberFormat="1" applyFont="1" applyFill="1" applyBorder="1" applyAlignment="1">
      <x:alignment wrapText="1"/>
    </x:xf>
    <x:xf numFmtId="0" fontId="6" fillId="5" borderId="13" xfId="0" applyNumberFormat="1" applyFont="1" applyFill="1" applyBorder="1" applyAlignment="1">
      <x:alignment wrapText="1"/>
    </x:xf>
    <x:xf numFmtId="0" fontId="6" fillId="5" borderId="14" xfId="0" applyNumberFormat="1" applyFont="1" applyFill="1" applyBorder="1" applyAlignment="1">
      <x:alignment wrapText="1"/>
    </x:xf>
    <x:xf numFmtId="0" fontId="6" fillId="5" borderId="15" xfId="0" applyNumberFormat="1" applyFont="1" applyFill="1" applyBorder="1" applyAlignment="1">
      <x:alignment wrapText="1"/>
    </x:xf>
    <x:xf numFmtId="0" fontId="6" fillId="5" borderId="16" xfId="0" applyNumberFormat="1" applyFont="1" applyFill="1" applyBorder="1" applyAlignment="1">
      <x:alignment wrapText="1"/>
    </x:xf>
    <x:xf numFmtId="0" fontId="1" fillId="3" borderId="0" xfId="0" applyNumberFormat="1" applyFont="1" applyFill="1" applyBorder="1"/>
    <x:xf numFmtId="0" fontId="1" fillId="5" borderId="0" xfId="0" applyNumberFormat="1" applyFont="1" applyFill="1" applyBorder="1"/>
    <x:xf numFmtId="0" fontId="6" fillId="5" borderId="0" xfId="0" applyNumberFormat="1" applyFont="1" applyFill="1" applyBorder="1"/>
    <x:xf numFmtId="0" fontId="6" fillId="5" borderId="17" xfId="0" applyNumberFormat="1" applyFont="1" applyFill="1" applyBorder="1"/>
    <x:xf numFmtId="0" fontId="6" fillId="5" borderId="18" xfId="0" applyNumberFormat="1" applyFont="1" applyFill="1" applyBorder="1"/>
    <x:xf numFmtId="0" fontId="6" fillId="5" borderId="19" xfId="0" applyNumberFormat="1" applyFont="1" applyFill="1" applyBorder="1"/>
    <x:xf numFmtId="0" fontId="6" fillId="5" borderId="20" xfId="0" applyNumberFormat="1" applyFont="1" applyFill="1" applyBorder="1"/>
    <x:xf numFmtId="0" fontId="1" fillId="6" borderId="0" xfId="0" applyNumberFormat="1" applyFont="1" applyFill="1" applyBorder="1"/>
    <x:xf numFmtId="0" fontId="5" fillId="6" borderId="0" xfId="0" applyNumberFormat="1" applyFont="1" applyFill="1" applyBorder="1"/>
    <x:xf numFmtId="0" fontId="1" fillId="4" borderId="0" xfId="0" applyNumberFormat="1" applyFont="1" applyFill="1" applyBorder="1"/>
    <x:xf numFmtId="0" fontId="4" fillId="4" borderId="21" xfId="0" applyNumberFormat="1" applyFont="1" applyFill="1" applyBorder="1"/>
    <x:xf numFmtId="200" fontId="6" fillId="5" borderId="14" xfId="0" applyNumberFormat="1" applyFont="1" applyFill="1" applyBorder="1" applyAlignment="1">
      <x:alignment wrapText="1"/>
    </x:xf>
    <x:xf numFmtId="200" fontId="6" fillId="5" borderId="15" xfId="0" applyNumberFormat="1" applyFont="1" applyFill="1" applyBorder="1" applyAlignment="1">
      <x:alignment wrapText="1"/>
    </x:xf>
    <x:xf numFmtId="205" fontId="6" fillId="5" borderId="15" xfId="0" applyNumberFormat="1" applyFont="1" applyFill="1" applyBorder="1" applyAlignment="1">
      <x:alignment wrapText="1"/>
    </x:xf>
    <x:xf numFmtId="203" fontId="6" fillId="5" borderId="15" xfId="0" applyNumberFormat="1" applyFont="1" applyFill="1" applyBorder="1" applyAlignment="1">
      <x:alignment wrapText="1"/>
    </x:xf>
    <x:xf numFmtId="203" fontId="6" fillId="5" borderId="16" xfId="0" applyNumberFormat="1" applyFont="1" applyFill="1" applyBorder="1" applyAlignment="1">
      <x:alignment wrapText="1"/>
    </x:xf>
    <x:xf numFmtId="202" fontId="6" fillId="5" borderId="17" xfId="0" applyNumberFormat="1" applyFont="1" applyFill="1" applyBorder="1"/>
    <x:xf numFmtId="202" fontId="6" fillId="5" borderId="19" xfId="0" applyNumberFormat="1" applyFont="1" applyFill="1" applyBorder="1"/>
    <x:xf numFmtId="202" fontId="4" fillId="4" borderId="21" xfId="0" applyNumberFormat="1" applyFont="1" applyFill="1" applyBorder="1"/>
    <x:xf numFmtId="201" fontId="6" fillId="5" borderId="18" xfId="0" applyNumberFormat="1" applyFont="1" applyFill="1" applyBorder="1"/>
    <x:xf numFmtId="201" fontId="6" fillId="5" borderId="20" xfId="0" applyNumberFormat="1" applyFont="1" applyFill="1" applyBorder="1"/>
    <x:xf numFmtId="201" fontId="4" fillId="4" borderId="21" xfId="0" applyNumberFormat="1" applyFont="1" applyFill="1" applyBorder="1"/>
    <x:xf numFmtId="205" fontId="5" fillId="6" borderId="0" xfId="0" applyNumberFormat="1" applyFont="1" applyFill="1" applyBorder="1"/>
    <x:xf numFmtId="205" fontId="4" fillId="4" borderId="21" xfId="0" applyNumberFormat="1" applyFont="1" applyFill="1" applyBorder="1"/>
    <x:xf numFmtId="202" fontId="5" fillId="6" borderId="0" xfId="0" applyNumberFormat="1" applyFont="1" applyFill="1" applyBorder="1"/>
    <x:xf numFmtId="0" fontId="2" fillId="2" borderId="22" xfId="0" applyNumberFormat="1" applyFont="1" applyFill="1" applyBorder="1"/>
    <x:xf numFmtId="0" fontId="2" fillId="2" borderId="22" xfId="0" applyNumberFormat="1" applyFont="1" applyFill="1" applyBorder="1" applyAlignment="1">
      <x:alignment horizontal="center"/>
    </x:xf>
    <x:xf numFmtId="0" fontId="2" fillId="2" borderId="22" xfId="0" applyNumberFormat="1" applyFont="1" applyFill="1" applyBorder="1" applyAlignment="1">
      <x:alignment horizontal="center" vertical="center"/>
    </x:xf>
    <x:xf numFmtId="206" fontId="1" fillId="0" borderId="5" xfId="0" applyNumberFormat="1" applyFont="1" applyFill="1" applyBorder="1" applyAlignment="1">
      <x:alignment vertical="center"/>
    </x:xf>
    <x:xf numFmtId="206" fontId="1" fillId="0" borderId="8" xfId="0" applyNumberFormat="1" applyFont="1" applyFill="1" applyBorder="1" applyAlignment="1">
      <x:alignment vertical="center"/>
    </x:xf>
    <x:xf numFmtId="207" fontId="1" fillId="0" borderId="5" xfId="0" applyNumberFormat="1" applyFont="1" applyFill="1" applyBorder="1" applyAlignment="1">
      <x:alignment vertical="center"/>
    </x:xf>
    <x:xf numFmtId="207" fontId="1" fillId="0" borderId="6" xfId="0" applyNumberFormat="1" applyFont="1" applyFill="1" applyBorder="1" applyAlignment="1">
      <x:alignment vertical="center"/>
    </x:xf>
    <x:xf numFmtId="207" fontId="1" fillId="0" borderId="8" xfId="0" applyNumberFormat="1" applyFont="1" applyFill="1" applyBorder="1" applyAlignment="1">
      <x:alignment vertical="center"/>
    </x:xf>
    <x:xf numFmtId="207" fontId="1" fillId="0" borderId="9" xfId="0" applyNumberFormat="1" applyFont="1" applyFill="1" applyBorder="1" applyAlignment="1">
      <x:alignment vertical="center"/>
    </x:xf>
    <x:xf numFmtId="207" fontId="1" fillId="0" borderId="4" xfId="0" applyNumberFormat="1" applyFont="1" applyFill="1" applyBorder="1" applyAlignment="1">
      <x:alignment vertical="center"/>
    </x:xf>
    <x:xf numFmtId="207" fontId="1" fillId="0" borderId="7" xfId="0" applyNumberFormat="1" applyFont="1" applyFill="1" applyBorder="1" applyAlignment="1">
      <x:alignment vertical="center"/>
    </x:xf>
    <x:xf numFmtId="202" fontId="5" fillId="3" borderId="0" xfId="0" applyNumberFormat="1" applyFont="1" applyFill="1" applyBorder="1" applyAlignment="1">
      <x:alignment wrapText="1"/>
    </x:xf>
    <x:xf numFmtId="202" fontId="5" fillId="3" borderId="13" xfId="0" applyNumberFormat="1" applyFont="1" applyFill="1" applyBorder="1" applyAlignment="1">
      <x:alignment wrapText="1"/>
    </x:xf>
    <x:xf numFmtId="201" fontId="5" fillId="3" borderId="0" xfId="0" applyNumberFormat="1" applyFont="1" applyFill="1" applyBorder="1" applyAlignment="1">
      <x:alignment wrapText="1"/>
    </x:xf>
    <x:xf numFmtId="201" fontId="5" fillId="3" borderId="13" xfId="0" applyNumberFormat="1" applyFont="1" applyFill="1" applyBorder="1" applyAlignment="1">
      <x:alignment wrapText="1"/>
    </x:xf>
    <x:xf numFmtId="0" fontId="4" fillId="3" borderId="0" xfId="0" applyNumberFormat="1" applyFont="1" applyFill="1" applyBorder="1"/>
    <x:xf numFmtId="0" fontId="4" fillId="3" borderId="23" xfId="0" applyNumberFormat="1" applyFont="1" applyFill="1" applyBorder="1"/>
    <x:xf numFmtId="0" fontId="4" fillId="3" borderId="24" xfId="0" applyNumberFormat="1" applyFont="1" applyFill="1" applyBorder="1"/>
    <x:xf numFmtId="0" fontId="4" fillId="3" borderId="25" xfId="0" applyNumberFormat="1" applyFont="1" applyFill="1" applyBorder="1"/>
    <x:xf numFmtId="0" fontId="4" fillId="3" borderId="26" xfId="0" applyNumberFormat="1" applyFont="1" applyFill="1" applyBorder="1"/>
    <x:xf numFmtId="0" fontId="4" fillId="3" borderId="13" xfId="0" applyNumberFormat="1" applyFont="1" applyFill="1" applyBorder="1"/>
    <x:xf numFmtId="0" fontId="4" fillId="3" borderId="27" xfId="0" applyNumberFormat="1" applyFont="1" applyFill="1" applyBorder="1"/>
    <x:xf numFmtId="202" fontId="4" fillId="3" borderId="23" xfId="0" applyNumberFormat="1" applyFont="1" applyFill="1" applyBorder="1"/>
    <x:xf numFmtId="202" fontId="4" fillId="3" borderId="24" xfId="0" applyNumberFormat="1" applyFont="1" applyFill="1" applyBorder="1"/>
    <x:xf numFmtId="202" fontId="4" fillId="3" borderId="25" xfId="0" applyNumberFormat="1" applyFont="1" applyFill="1" applyBorder="1"/>
    <x:xf numFmtId="202" fontId="4" fillId="3" borderId="26" xfId="0" applyNumberFormat="1" applyFont="1" applyFill="1" applyBorder="1"/>
    <x:xf numFmtId="202" fontId="4" fillId="3" borderId="13" xfId="0" applyNumberFormat="1" applyFont="1" applyFill="1" applyBorder="1"/>
    <x:xf numFmtId="202" fontId="4" fillId="3" borderId="27" xfId="0" applyNumberFormat="1" applyFont="1" applyFill="1" applyBorder="1"/>
    <x:xf numFmtId="202" fontId="4" fillId="3" borderId="23" xfId="0" applyNumberFormat="1" applyFont="1" applyFill="1" applyBorder="1" applyAlignment="1">
      <x:alignment horizontal="center"/>
    </x:xf>
    <x:xf numFmtId="202" fontId="4" fillId="3" borderId="24" xfId="0" applyNumberFormat="1" applyFont="1" applyFill="1" applyBorder="1" applyAlignment="1">
      <x:alignment horizontal="center"/>
    </x:xf>
    <x:xf numFmtId="202" fontId="4" fillId="3" borderId="25" xfId="0" applyNumberFormat="1" applyFont="1" applyFill="1" applyBorder="1" applyAlignment="1">
      <x:alignment horizontal="center"/>
    </x:xf>
    <x:xf numFmtId="202" fontId="4" fillId="3" borderId="26" xfId="0" applyNumberFormat="1" applyFont="1" applyFill="1" applyBorder="1" applyAlignment="1">
      <x:alignment horizontal="center"/>
    </x:xf>
    <x:xf numFmtId="202" fontId="4" fillId="3" borderId="13" xfId="0" applyNumberFormat="1" applyFont="1" applyFill="1" applyBorder="1" applyAlignment="1">
      <x:alignment horizontal="center"/>
    </x:xf>
    <x:xf numFmtId="202" fontId="4" fillId="3" borderId="27" xfId="0" applyNumberFormat="1" applyFont="1" applyFill="1" applyBorder="1" applyAlignment="1">
      <x:alignment horizontal="center"/>
    </x:xf>
    <x:xf numFmtId="202" fontId="4" fillId="3" borderId="23" xfId="0" applyNumberFormat="1" applyFont="1" applyFill="1" applyBorder="1" applyAlignment="1">
      <x:alignment horizontal="center" vertical="center"/>
    </x:xf>
    <x:xf numFmtId="202" fontId="4" fillId="3" borderId="24" xfId="0" applyNumberFormat="1" applyFont="1" applyFill="1" applyBorder="1" applyAlignment="1">
      <x:alignment horizontal="center" vertical="center"/>
    </x:xf>
    <x:xf numFmtId="202" fontId="4" fillId="3" borderId="25" xfId="0" applyNumberFormat="1" applyFont="1" applyFill="1" applyBorder="1" applyAlignment="1">
      <x:alignment horizontal="center" vertical="center"/>
    </x:xf>
    <x:xf numFmtId="202" fontId="4" fillId="3" borderId="26" xfId="0" applyNumberFormat="1" applyFont="1" applyFill="1" applyBorder="1" applyAlignment="1">
      <x:alignment horizontal="center" vertical="center"/>
    </x:xf>
    <x:xf numFmtId="202" fontId="4" fillId="3" borderId="13" xfId="0" applyNumberFormat="1" applyFont="1" applyFill="1" applyBorder="1" applyAlignment="1">
      <x:alignment horizontal="center" vertical="center"/>
    </x:xf>
    <x:xf numFmtId="202" fontId="4" fillId="3" borderId="27" xfId="0" applyNumberFormat="1" applyFont="1" applyFill="1" applyBorder="1" applyAlignment="1">
      <x:alignment horizontal="center" vertical="center"/>
    </x:xf>
    <x:xf numFmtId="0" fontId="7" fillId="3" borderId="0" xfId="0" applyNumberFormat="1" applyFont="1" applyFill="1" applyBorder="1"/>
    <x:xf numFmtId="0" fontId="7" fillId="3" borderId="23" xfId="0" applyNumberFormat="1" applyFont="1" applyFill="1" applyBorder="1"/>
    <x:xf numFmtId="0" fontId="7" fillId="3" borderId="24" xfId="0" applyNumberFormat="1" applyFont="1" applyFill="1" applyBorder="1"/>
    <x:xf numFmtId="0" fontId="7" fillId="3" borderId="25" xfId="0" applyNumberFormat="1" applyFont="1" applyFill="1" applyBorder="1"/>
    <x:xf numFmtId="0" fontId="7" fillId="3" borderId="26" xfId="0" applyNumberFormat="1" applyFont="1" applyFill="1" applyBorder="1"/>
    <x:xf numFmtId="0" fontId="7" fillId="3" borderId="13" xfId="0" applyNumberFormat="1" applyFont="1" applyFill="1" applyBorder="1"/>
    <x:xf numFmtId="0" fontId="7" fillId="3" borderId="27" xfId="0" applyNumberFormat="1" applyFont="1" applyFill="1" applyBorder="1"/>
    <x:xf numFmtId="202" fontId="7" fillId="3" borderId="23" xfId="0" applyNumberFormat="1" applyFont="1" applyFill="1" applyBorder="1"/>
    <x:xf numFmtId="202" fontId="7" fillId="3" borderId="24" xfId="0" applyNumberFormat="1" applyFont="1" applyFill="1" applyBorder="1"/>
    <x:xf numFmtId="202" fontId="7" fillId="3" borderId="25" xfId="0" applyNumberFormat="1" applyFont="1" applyFill="1" applyBorder="1"/>
    <x:xf numFmtId="202" fontId="7" fillId="3" borderId="26" xfId="0" applyNumberFormat="1" applyFont="1" applyFill="1" applyBorder="1"/>
    <x:xf numFmtId="202" fontId="7" fillId="3" borderId="13" xfId="0" applyNumberFormat="1" applyFont="1" applyFill="1" applyBorder="1"/>
    <x:xf numFmtId="202" fontId="7" fillId="3" borderId="27" xfId="0" applyNumberFormat="1" applyFont="1" applyFill="1" applyBorder="1"/>
    <x:xf numFmtId="202" fontId="7" fillId="3" borderId="23" xfId="0" applyNumberFormat="1" applyFont="1" applyFill="1" applyBorder="1" applyAlignment="1">
      <x:alignment horizontal="center"/>
    </x:xf>
    <x:xf numFmtId="202" fontId="7" fillId="3" borderId="24" xfId="0" applyNumberFormat="1" applyFont="1" applyFill="1" applyBorder="1" applyAlignment="1">
      <x:alignment horizontal="center"/>
    </x:xf>
    <x:xf numFmtId="202" fontId="7" fillId="3" borderId="25" xfId="0" applyNumberFormat="1" applyFont="1" applyFill="1" applyBorder="1" applyAlignment="1">
      <x:alignment horizontal="center"/>
    </x:xf>
    <x:xf numFmtId="202" fontId="7" fillId="3" borderId="26" xfId="0" applyNumberFormat="1" applyFont="1" applyFill="1" applyBorder="1" applyAlignment="1">
      <x:alignment horizontal="center"/>
    </x:xf>
    <x:xf numFmtId="202" fontId="7" fillId="3" borderId="13" xfId="0" applyNumberFormat="1" applyFont="1" applyFill="1" applyBorder="1" applyAlignment="1">
      <x:alignment horizontal="center"/>
    </x:xf>
    <x:xf numFmtId="202" fontId="7" fillId="3" borderId="27" xfId="0" applyNumberFormat="1" applyFont="1" applyFill="1" applyBorder="1" applyAlignment="1">
      <x:alignment horizontal="center"/>
    </x:xf>
    <x:xf numFmtId="202" fontId="7" fillId="3" borderId="23" xfId="0" applyNumberFormat="1" applyFont="1" applyFill="1" applyBorder="1" applyAlignment="1">
      <x:alignment horizontal="center" vertical="center"/>
    </x:xf>
    <x:xf numFmtId="202" fontId="7" fillId="3" borderId="24" xfId="0" applyNumberFormat="1" applyFont="1" applyFill="1" applyBorder="1" applyAlignment="1">
      <x:alignment horizontal="center" vertical="center"/>
    </x:xf>
    <x:xf numFmtId="202" fontId="7" fillId="3" borderId="25" xfId="0" applyNumberFormat="1" applyFont="1" applyFill="1" applyBorder="1" applyAlignment="1">
      <x:alignment horizontal="center" vertical="center"/>
    </x:xf>
    <x:xf numFmtId="202" fontId="7" fillId="3" borderId="26" xfId="0" applyNumberFormat="1" applyFont="1" applyFill="1" applyBorder="1" applyAlignment="1">
      <x:alignment horizontal="center" vertical="center"/>
    </x:xf>
    <x:xf numFmtId="202" fontId="7" fillId="3" borderId="13" xfId="0" applyNumberFormat="1" applyFont="1" applyFill="1" applyBorder="1" applyAlignment="1">
      <x:alignment horizontal="center" vertical="center"/>
    </x:xf>
    <x:xf numFmtId="202" fontId="7" fillId="3" borderId="27" xfId="0" applyNumberFormat="1" applyFont="1" applyFill="1" applyBorder="1" applyAlignment="1">
      <x:alignment horizontal="center" vertical="center"/>
    </x:xf>
    <x:xf numFmtId="0" fontId="8" fillId="3" borderId="0" xfId="0" applyNumberFormat="1" applyFont="1" applyFill="1" applyBorder="1"/>
    <x:xf numFmtId="0" fontId="8" fillId="3" borderId="23" xfId="0" applyNumberFormat="1" applyFont="1" applyFill="1" applyBorder="1"/>
    <x:xf numFmtId="0" fontId="8" fillId="3" borderId="24" xfId="0" applyNumberFormat="1" applyFont="1" applyFill="1" applyBorder="1"/>
    <x:xf numFmtId="0" fontId="8" fillId="3" borderId="25" xfId="0" applyNumberFormat="1" applyFont="1" applyFill="1" applyBorder="1"/>
    <x:xf numFmtId="0" fontId="8" fillId="3" borderId="26" xfId="0" applyNumberFormat="1" applyFont="1" applyFill="1" applyBorder="1"/>
    <x:xf numFmtId="0" fontId="8" fillId="3" borderId="13" xfId="0" applyNumberFormat="1" applyFont="1" applyFill="1" applyBorder="1"/>
    <x:xf numFmtId="0" fontId="8" fillId="3" borderId="27" xfId="0" applyNumberFormat="1" applyFont="1" applyFill="1" applyBorder="1"/>
    <x:xf numFmtId="203" fontId="8" fillId="3" borderId="23" xfId="0" applyNumberFormat="1" applyFont="1" applyFill="1" applyBorder="1"/>
    <x:xf numFmtId="203" fontId="8" fillId="3" borderId="24" xfId="0" applyNumberFormat="1" applyFont="1" applyFill="1" applyBorder="1"/>
    <x:xf numFmtId="203" fontId="8" fillId="3" borderId="25" xfId="0" applyNumberFormat="1" applyFont="1" applyFill="1" applyBorder="1"/>
    <x:xf numFmtId="203" fontId="8" fillId="3" borderId="26" xfId="0" applyNumberFormat="1" applyFont="1" applyFill="1" applyBorder="1"/>
    <x:xf numFmtId="203" fontId="8" fillId="3" borderId="13" xfId="0" applyNumberFormat="1" applyFont="1" applyFill="1" applyBorder="1"/>
    <x:xf numFmtId="203" fontId="8" fillId="3" borderId="27" xfId="0" applyNumberFormat="1" applyFont="1" applyFill="1" applyBorder="1"/>
    <x:xf numFmtId="203" fontId="8" fillId="3" borderId="23" xfId="0" applyNumberFormat="1" applyFont="1" applyFill="1" applyBorder="1" applyAlignment="1">
      <x:alignment horizontal="center"/>
    </x:xf>
    <x:xf numFmtId="203" fontId="8" fillId="3" borderId="24" xfId="0" applyNumberFormat="1" applyFont="1" applyFill="1" applyBorder="1" applyAlignment="1">
      <x:alignment horizontal="center"/>
    </x:xf>
    <x:xf numFmtId="203" fontId="8" fillId="3" borderId="25" xfId="0" applyNumberFormat="1" applyFont="1" applyFill="1" applyBorder="1" applyAlignment="1">
      <x:alignment horizontal="center"/>
    </x:xf>
    <x:xf numFmtId="203" fontId="8" fillId="3" borderId="26" xfId="0" applyNumberFormat="1" applyFont="1" applyFill="1" applyBorder="1" applyAlignment="1">
      <x:alignment horizontal="center"/>
    </x:xf>
    <x:xf numFmtId="203" fontId="8" fillId="3" borderId="13" xfId="0" applyNumberFormat="1" applyFont="1" applyFill="1" applyBorder="1" applyAlignment="1">
      <x:alignment horizontal="center"/>
    </x:xf>
    <x:xf numFmtId="203" fontId="8" fillId="3" borderId="27" xfId="0" applyNumberFormat="1" applyFont="1" applyFill="1" applyBorder="1" applyAlignment="1">
      <x:alignment horizontal="center"/>
    </x:xf>
    <x:xf numFmtId="203" fontId="8" fillId="3" borderId="23" xfId="0" applyNumberFormat="1" applyFont="1" applyFill="1" applyBorder="1" applyAlignment="1">
      <x:alignment horizontal="center" vertical="center"/>
    </x:xf>
    <x:xf numFmtId="203" fontId="8" fillId="3" borderId="24" xfId="0" applyNumberFormat="1" applyFont="1" applyFill="1" applyBorder="1" applyAlignment="1">
      <x:alignment horizontal="center" vertical="center"/>
    </x:xf>
    <x:xf numFmtId="203" fontId="8" fillId="3" borderId="25" xfId="0" applyNumberFormat="1" applyFont="1" applyFill="1" applyBorder="1" applyAlignment="1">
      <x:alignment horizontal="center" vertical="center"/>
    </x:xf>
    <x:xf numFmtId="203" fontId="8" fillId="3" borderId="26" xfId="0" applyNumberFormat="1" applyFont="1" applyFill="1" applyBorder="1" applyAlignment="1">
      <x:alignment horizontal="center" vertical="center"/>
    </x:xf>
    <x:xf numFmtId="203" fontId="8" fillId="3" borderId="13" xfId="0" applyNumberFormat="1" applyFont="1" applyFill="1" applyBorder="1" applyAlignment="1">
      <x:alignment horizontal="center" vertical="center"/>
    </x:xf>
    <x:xf numFmtId="203" fontId="8" fillId="3" borderId="27" xfId="0" applyNumberFormat="1" applyFont="1" applyFill="1" applyBorder="1" applyAlignment="1">
      <x:alignment horizontal="center" vertical="center"/>
    </x:xf>
    <x:xf numFmtId="0" fontId="9" fillId="3" borderId="0" xfId="0" applyNumberFormat="1" applyFont="1" applyFill="1" applyBorder="1"/>
    <x:xf numFmtId="0" fontId="9" fillId="3" borderId="23" xfId="0" applyNumberFormat="1" applyFont="1" applyFill="1" applyBorder="1"/>
    <x:xf numFmtId="0" fontId="9" fillId="3" borderId="24" xfId="0" applyNumberFormat="1" applyFont="1" applyFill="1" applyBorder="1"/>
    <x:xf numFmtId="0" fontId="9" fillId="3" borderId="25" xfId="0" applyNumberFormat="1" applyFont="1" applyFill="1" applyBorder="1"/>
    <x:xf numFmtId="0" fontId="9" fillId="3" borderId="26" xfId="0" applyNumberFormat="1" applyFont="1" applyFill="1" applyBorder="1"/>
    <x:xf numFmtId="0" fontId="9" fillId="3" borderId="13" xfId="0" applyNumberFormat="1" applyFont="1" applyFill="1" applyBorder="1"/>
    <x:xf numFmtId="0" fontId="9" fillId="3" borderId="27" xfId="0" applyNumberFormat="1" applyFont="1" applyFill="1" applyBorder="1"/>
    <x:xf numFmtId="202" fontId="9" fillId="3" borderId="23" xfId="0" applyNumberFormat="1" applyFont="1" applyFill="1" applyBorder="1"/>
    <x:xf numFmtId="202" fontId="9" fillId="3" borderId="24" xfId="0" applyNumberFormat="1" applyFont="1" applyFill="1" applyBorder="1"/>
    <x:xf numFmtId="202" fontId="9" fillId="3" borderId="25" xfId="0" applyNumberFormat="1" applyFont="1" applyFill="1" applyBorder="1"/>
    <x:xf numFmtId="202" fontId="9" fillId="3" borderId="26" xfId="0" applyNumberFormat="1" applyFont="1" applyFill="1" applyBorder="1"/>
    <x:xf numFmtId="202" fontId="9" fillId="3" borderId="13" xfId="0" applyNumberFormat="1" applyFont="1" applyFill="1" applyBorder="1"/>
    <x:xf numFmtId="202" fontId="9" fillId="3" borderId="27" xfId="0" applyNumberFormat="1" applyFont="1" applyFill="1" applyBorder="1"/>
    <x:xf numFmtId="202" fontId="9" fillId="3" borderId="23" xfId="0" applyNumberFormat="1" applyFont="1" applyFill="1" applyBorder="1" applyAlignment="1">
      <x:alignment horizontal="center"/>
    </x:xf>
    <x:xf numFmtId="202" fontId="9" fillId="3" borderId="24" xfId="0" applyNumberFormat="1" applyFont="1" applyFill="1" applyBorder="1" applyAlignment="1">
      <x:alignment horizontal="center"/>
    </x:xf>
    <x:xf numFmtId="202" fontId="9" fillId="3" borderId="25" xfId="0" applyNumberFormat="1" applyFont="1" applyFill="1" applyBorder="1" applyAlignment="1">
      <x:alignment horizontal="center"/>
    </x:xf>
    <x:xf numFmtId="202" fontId="9" fillId="3" borderId="26" xfId="0" applyNumberFormat="1" applyFont="1" applyFill="1" applyBorder="1" applyAlignment="1">
      <x:alignment horizontal="center"/>
    </x:xf>
    <x:xf numFmtId="202" fontId="9" fillId="3" borderId="13" xfId="0" applyNumberFormat="1" applyFont="1" applyFill="1" applyBorder="1" applyAlignment="1">
      <x:alignment horizontal="center"/>
    </x:xf>
    <x:xf numFmtId="202" fontId="9" fillId="3" borderId="27" xfId="0" applyNumberFormat="1" applyFont="1" applyFill="1" applyBorder="1" applyAlignment="1">
      <x:alignment horizontal="center"/>
    </x:xf>
    <x:xf numFmtId="202" fontId="9" fillId="3" borderId="23" xfId="0" applyNumberFormat="1" applyFont="1" applyFill="1" applyBorder="1" applyAlignment="1">
      <x:alignment horizontal="center" vertical="center"/>
    </x:xf>
    <x:xf numFmtId="202" fontId="9" fillId="3" borderId="24" xfId="0" applyNumberFormat="1" applyFont="1" applyFill="1" applyBorder="1" applyAlignment="1">
      <x:alignment horizontal="center" vertical="center"/>
    </x:xf>
    <x:xf numFmtId="202" fontId="9" fillId="3" borderId="25" xfId="0" applyNumberFormat="1" applyFont="1" applyFill="1" applyBorder="1" applyAlignment="1">
      <x:alignment horizontal="center" vertical="center"/>
    </x:xf>
    <x:xf numFmtId="202" fontId="9" fillId="3" borderId="26" xfId="0" applyNumberFormat="1" applyFont="1" applyFill="1" applyBorder="1" applyAlignment="1">
      <x:alignment horizontal="center" vertical="center"/>
    </x:xf>
    <x:xf numFmtId="202" fontId="9" fillId="3" borderId="13" xfId="0" applyNumberFormat="1" applyFont="1" applyFill="1" applyBorder="1" applyAlignment="1">
      <x:alignment horizontal="center" vertical="center"/>
    </x:xf>
    <x:xf numFmtId="202" fontId="9" fillId="3" borderId="27" xfId="0" applyNumberFormat="1" applyFont="1" applyFill="1" applyBorder="1" applyAlignment="1">
      <x:alignment horizontal="center" vertical="center"/>
    </x:xf>
    <x:xf numFmtId="0" fontId="1" fillId="3" borderId="13" xfId="0" applyNumberFormat="1" applyFont="1" applyFill="1" applyBorder="1"/>
    <x:xf numFmtId="0" fontId="1" fillId="3" borderId="0" xfId="0" applyNumberFormat="1" applyFont="1" applyFill="1" applyBorder="1" applyAlignment="1">
      <x:alignment vertical="center"/>
    </x:xf>
    <x:xf numFmtId="0" fontId="1" fillId="3" borderId="13" xfId="0" applyNumberFormat="1" applyFont="1" applyFill="1" applyBorder="1" applyAlignment="1">
      <x:alignment vertical="center"/>
    </x:xf>
    <x:xf numFmtId="203" fontId="1" fillId="3" borderId="0" xfId="0" applyNumberFormat="1" applyFont="1" applyFill="1" applyBorder="1" applyAlignment="1">
      <x:alignment vertical="center"/>
    </x:xf>
    <x:xf numFmtId="203" fontId="1" fillId="3" borderId="13" xfId="0" applyNumberFormat="1" applyFont="1" applyFill="1" applyBorder="1" applyAlignment="1">
      <x:alignment vertical="center"/>
    </x:xf>
    <x:xf numFmtId="202" fontId="1" fillId="3" borderId="0" xfId="0" applyNumberFormat="1" applyFont="1" applyFill="1" applyBorder="1" applyAlignment="1">
      <x:alignment vertical="center"/>
    </x:xf>
    <x:xf numFmtId="202" fontId="1" fillId="3" borderId="13" xfId="0" applyNumberFormat="1" applyFont="1" applyFill="1" applyBorder="1" applyAlignment="1">
      <x:alignment vertical="center"/>
    </x:xf>
    <x:xf numFmtId="202" fontId="1" fillId="3" borderId="0" xfId="0" applyNumberFormat="1" applyFont="1" applyFill="1" applyBorder="1"/>
    <x:xf numFmtId="202" fontId="1" fillId="3" borderId="13" xfId="0" applyNumberFormat="1" applyFont="1" applyFill="1" applyBorder="1"/>
    <x:xf numFmtId="203" fontId="1" fillId="3" borderId="0" xfId="0" applyNumberFormat="1" applyFont="1" applyFill="1" applyBorder="1"/>
    <x:xf numFmtId="203" fontId="1" fillId="3" borderId="13" xfId="0" applyNumberFormat="1" applyFont="1" applyFill="1" applyBorder="1"/>
    <x:xf numFmtId="207" fontId="1" fillId="3" borderId="0" xfId="0" applyNumberFormat="1" applyFont="1" applyFill="1" applyBorder="1"/>
    <x:xf numFmtId="207" fontId="1" fillId="3" borderId="13" xfId="0" applyNumberFormat="1" applyFont="1" applyFill="1" applyBorder="1"/>
    <x:xf numFmtId="0" fontId="10" fillId="3" borderId="0" xfId="0" applyNumberFormat="1" applyFont="1" applyFill="1" applyBorder="1"/>
    <x:xf numFmtId="0" fontId="10"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2" fillId="2" borderId="1" xfId="0" applyNumberFormat="1" applyFont="1" applyFill="1" applyBorder="1" applyAlignment="1">
      <x:alignment vertical="center" wrapText="1"/>
    </x:xf>
    <x:xf numFmtId="0" fontId="2" fillId="2" borderId="2" xfId="0" applyNumberFormat="1" applyFont="1" applyFill="1" applyBorder="1" applyAlignment="1">
      <x:alignment vertical="center" wrapText="1"/>
    </x:xf>
    <x:xf numFmtId="0" fontId="2" fillId="2" borderId="3" xfId="0" applyNumberFormat="1" applyFont="1" applyFill="1" applyBorder="1" applyAlignment="1">
      <x:alignment vertical="center" wrapText="1"/>
    </x:xf>
    <x:xf numFmtId="0" fontId="1" fillId="3" borderId="4" xfId="0" applyNumberFormat="1" applyFont="1" applyFill="1" applyBorder="1" applyAlignment="1">
      <x:alignment vertical="center"/>
    </x:xf>
    <x:xf numFmtId="0" fontId="1" fillId="3" borderId="5" xfId="0" applyNumberFormat="1" applyFont="1" applyFill="1" applyBorder="1" applyAlignment="1">
      <x:alignment vertical="center"/>
    </x:xf>
    <x:xf numFmtId="203" fontId="1" fillId="3" borderId="5" xfId="0" applyNumberFormat="1" applyFont="1" applyFill="1" applyBorder="1" applyAlignment="1">
      <x:alignment vertical="center"/>
    </x:xf>
    <x:xf numFmtId="202" fontId="1" fillId="3" borderId="5" xfId="0" applyNumberFormat="1" applyFont="1" applyFill="1" applyBorder="1" applyAlignment="1">
      <x:alignment vertical="center"/>
    </x:xf>
    <x:xf numFmtId="0" fontId="1" fillId="3" borderId="6" xfId="0" applyNumberFormat="1" applyFont="1" applyFill="1" applyBorder="1" applyAlignment="1">
      <x:alignment vertical="center"/>
    </x:xf>
    <x:xf numFmtId="0" fontId="1" fillId="3" borderId="28" xfId="0" applyNumberFormat="1" applyFont="1" applyFill="1" applyBorder="1" applyAlignment="1">
      <x:alignment vertical="center"/>
    </x:xf>
    <x:xf numFmtId="0" fontId="1" fillId="3" borderId="29" xfId="0" applyNumberFormat="1" applyFont="1" applyFill="1" applyBorder="1" applyAlignment="1">
      <x:alignment vertical="center"/>
    </x:xf>
    <x:xf numFmtId="203" fontId="1" fillId="3" borderId="29" xfId="0" applyNumberFormat="1" applyFont="1" applyFill="1" applyBorder="1" applyAlignment="1">
      <x:alignment vertical="center"/>
    </x:xf>
    <x:xf numFmtId="202" fontId="1" fillId="3" borderId="29" xfId="0" applyNumberFormat="1" applyFont="1" applyFill="1" applyBorder="1" applyAlignment="1">
      <x:alignment vertical="center"/>
    </x:xf>
    <x:xf numFmtId="0" fontId="1" fillId="3" borderId="30" xfId="0" applyNumberFormat="1" applyFont="1" applyFill="1" applyBorder="1" applyAlignment="1">
      <x:alignment vertical="center"/>
    </x:xf>
    <x:xf numFmtId="0" fontId="1" fillId="3" borderId="4" xfId="0" applyNumberFormat="1" applyFont="1" applyFill="1" applyBorder="1"/>
    <x:xf numFmtId="202" fontId="1" fillId="3" borderId="5" xfId="0" applyNumberFormat="1" applyFont="1" applyFill="1" applyBorder="1"/>
    <x:xf numFmtId="203" fontId="1" fillId="3" borderId="5" xfId="0" applyNumberFormat="1" applyFont="1" applyFill="1" applyBorder="1"/>
    <x:xf numFmtId="207" fontId="1" fillId="3" borderId="5" xfId="0" applyNumberFormat="1" applyFont="1" applyFill="1" applyBorder="1"/>
    <x:xf numFmtId="207" fontId="1" fillId="3" borderId="6" xfId="0" applyNumberFormat="1" applyFont="1" applyFill="1" applyBorder="1"/>
    <x:xf numFmtId="0" fontId="1" fillId="3" borderId="28" xfId="0" applyNumberFormat="1" applyFont="1" applyFill="1" applyBorder="1"/>
    <x:xf numFmtId="202" fontId="1" fillId="3" borderId="29" xfId="0" applyNumberFormat="1" applyFont="1" applyFill="1" applyBorder="1"/>
    <x:xf numFmtId="203" fontId="1" fillId="3" borderId="29" xfId="0" applyNumberFormat="1" applyFont="1" applyFill="1" applyBorder="1"/>
    <x:xf numFmtId="207" fontId="1" fillId="3" borderId="29" xfId="0" applyNumberFormat="1" applyFont="1" applyFill="1" applyBorder="1"/>
    <x:xf numFmtId="207" fontId="1" fillId="3" borderId="30" xfId="0" applyNumberFormat="1" applyFont="1" applyFill="1" applyBorder="1"/>
    <x:xf numFmtId="202" fontId="1" fillId="3" borderId="6" xfId="0" applyNumberFormat="1" applyFont="1" applyFill="1" applyBorder="1"/>
    <x:xf numFmtId="202" fontId="1" fillId="3" borderId="30" xfId="0" applyNumberFormat="1" applyFont="1" applyFill="1" applyBorder="1"/>
    <x:xf numFmtId="0" fontId="4" fillId="4" borderId="0" xfId="0" applyNumberFormat="1" applyFont="1" applyFill="1" applyBorder="1" applyAlignment="1">
      <x:alignment wrapText="1"/>
    </x:xf>
    <x:xf numFmtId="0" fontId="4" fillId="4" borderId="13" xfId="0" applyNumberFormat="1" applyFont="1" applyFill="1" applyBorder="1" applyAlignment="1">
      <x:alignment wrapText="1"/>
    </x:xf>
  </x:cellXfs>
  <x:cellStyles count="1">
    <x:cellStyle name="Normal" xfId="0"/>
  </x:cellStyles>
  <x:dxfs count="13">
    <x:dxf>
      <x:font>
        <x:b/>
        <x:color rgb="FFC7352B"/>
      </x:font>
      <x:fill>
        <x:patternFill patternType="solid">
          <x:bgColor rgb="FFFBE8E6"/>
        </x:patternFill>
      </x:fill>
    </x:dxf>
    <x:dxf>
      <x:font>
        <x:b/>
        <x:color rgb="FFC7352B"/>
      </x:font>
      <x:fill>
        <x:patternFill patternType="solid">
          <x:bgColor rgb="FFFBE8E6"/>
        </x:patternFill>
      </x:fill>
    </x:dxf>
    <x:dxf>
      <x:font>
        <x:b/>
        <x:color rgb="FFC7352B"/>
      </x:font>
      <x:fill>
        <x:patternFill patternType="solid">
          <x:bgColor rgb="FFFBE8E6"/>
        </x:patternFill>
      </x:fill>
    </x:dxf>
    <x:dxf>
      <x:font>
        <x:b/>
        <x:color rgb="FF2F7D5B"/>
      </x:font>
      <x:fill>
        <x:patternFill patternType="solid">
          <x:bgColor rgb="FFE6F3EC"/>
        </x:patternFill>
      </x:fill>
    </x:dxf>
    <x:dxf>
      <x:font>
        <x:b/>
        <x:color rgb="FFC7352B"/>
      </x:font>
      <x:fill>
        <x:patternFill patternType="solid">
          <x:bgColor rgb="FFFBE8E6"/>
        </x:patternFill>
      </x:fill>
    </x:dxf>
    <x:dxf>
      <x:font>
        <x:b/>
        <x:color rgb="FFC7352B"/>
      </x:font>
      <x:fill>
        <x:patternFill patternType="solid">
          <x:bgColor rgb="FFFBE8E6"/>
        </x:patternFill>
      </x:fill>
    </x:dxf>
    <x:dxf>
      <x:font>
        <x:b/>
        <x:color rgb="FF2F7D5B"/>
      </x:font>
      <x:fill>
        <x:patternFill patternType="solid">
          <x:bgColor rgb="FFE6F3EC"/>
        </x:patternFill>
      </x:fill>
    </x:dxf>
    <x:dxf>
      <x:font>
        <x:b/>
        <x:color rgb="FF2F7D5B"/>
      </x:font>
      <x:fill>
        <x:patternFill patternType="solid">
          <x:bgColor rgb="FFE6F3EC"/>
        </x:patternFill>
      </x:fill>
    </x:dxf>
    <x:dxf>
      <x:font>
        <x:b/>
        <x:color rgb="FFC7352B"/>
      </x:font>
      <x:fill>
        <x:patternFill patternType="solid">
          <x:bgColor rgb="FFFBE8E6"/>
        </x:patternFill>
      </x:fill>
    </x:dxf>
    <x:dxf>
      <x:font>
        <x:b/>
        <x:color rgb="FF2F7D5B"/>
      </x:font>
      <x:fill>
        <x:patternFill patternType="solid">
          <x:bgColor rgb="FFE6F3EC"/>
        </x:patternFill>
      </x:fill>
    </x:dxf>
    <x:dxf>
      <x:font>
        <x:b/>
        <x:color rgb="FFC7352B"/>
      </x:font>
      <x:fill>
        <x:patternFill patternType="solid">
          <x:bgColor rgb="FFFBE8E6"/>
        </x:patternFill>
      </x:fill>
    </x:dxf>
    <x:dxf>
      <x:font>
        <x:b/>
        <x:color rgb="FFC7352B"/>
      </x:font>
      <x:fill>
        <x:patternFill patternType="solid">
          <x:bgColor rgb="FFFBE8E6"/>
        </x:patternFill>
      </x:fill>
    </x:dxf>
    <x:dxf>
      <x:font>
        <x:b/>
        <x:color rgb="FF2F7D5B"/>
      </x:font>
      <x:fill>
        <x:patternFill patternType="solid">
          <x:bgColor rgb="FFE6F3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ba3287baad64f0d" /><Relationship Type="http://schemas.openxmlformats.org/officeDocument/2006/relationships/theme" Target="/xl/theme/theme1.xml" Id="R50ee211c7b0c46ea" /><Relationship Type="http://schemas.openxmlformats.org/officeDocument/2006/relationships/sharedStrings" Target="/xl/sharedStrings.xml" Id="R25354e91e5bd46d9" /><Relationship Type="http://schemas.openxmlformats.org/officeDocument/2006/relationships/worksheet" Target="/xl/worksheets/sheet1.xml" Id="R30f677a51d1a4d40" /><Relationship Type="http://schemas.openxmlformats.org/officeDocument/2006/relationships/worksheet" Target="/xl/worksheets/sheet2.xml" Id="R07ec68c26a1345d5" /><Relationship Type="http://schemas.openxmlformats.org/officeDocument/2006/relationships/worksheet" Target="/xl/worksheets/sheet3.xml" Id="R400cd0e7a0d44f69" /><Relationship Type="http://schemas.openxmlformats.org/officeDocument/2006/relationships/worksheet" Target="/xl/worksheets/sheet4.xml" Id="R23a78eed86224c41" /><Relationship Type="http://schemas.openxmlformats.org/officeDocument/2006/relationships/worksheet" Target="/xl/worksheets/sheet5.xml" Id="R107d61fb9bee4342" /><Relationship Type="http://schemas.openxmlformats.org/officeDocument/2006/relationships/worksheet" Target="/xl/worksheets/sheet6.xml" Id="Ree67eb6b8e3e4d4f" /><Relationship Type="http://schemas.openxmlformats.org/officeDocument/2006/relationships/worksheet" Target="/xl/worksheets/sheet7.xml" Id="R8e9ae14b050c4f40" /><Relationship Type="http://schemas.openxmlformats.org/officeDocument/2006/relationships/worksheet" Target="/xl/worksheets/sheet8.xml" Id="R8b723d25dafb42a9" /><Relationship Type="http://schemas.openxmlformats.org/officeDocument/2006/relationships/worksheet" Target="/xl/worksheets/sheet9.xml" Id="R0661eb79aa204826" /><Relationship Type="http://schemas.openxmlformats.org/officeDocument/2006/relationships/worksheet" Target="/xl/worksheets/sheet10.xml" Id="R07295098d2c746c2" /><Relationship Type="http://schemas.openxmlformats.org/officeDocument/2006/relationships/worksheet" Target="/xl/worksheets/sheet11.xml" Id="Raf0449255602411e" /><Relationship Type="http://schemas.microsoft.com/office/2017/10/relationships/person" Target="/xl/persons/person.xml" Id="R236ddcfbbdf545bf" /></Relationships>
</file>

<file path=xl/drawings/_rels/drawing1.xml.rels>&#65279;<?xml version="1.0" encoding="utf-8"?><Relationships xmlns="http://schemas.openxmlformats.org/package/2006/relationships"><Relationship Type="http://schemas.openxmlformats.org/officeDocument/2006/relationships/chart" Target="/xl/drawings/charts/chart1.xml" Id="R93c8f598e39a4b14" /><Relationship Type="http://schemas.openxmlformats.org/officeDocument/2006/relationships/chart" Target="/xl/drawings/charts/chart2.xml" Id="R9ae15ceecce447b6"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Contribution by Product Family ($)</a:t>
            </a:r>
          </a:p>
        </c:rich>
      </c:tx>
      <c:overlay val="0"/>
    </c:title>
    <c:plotArea>
      <c:barChart>
        <c:barDir val="col"/>
        <c:varyColors val="0"/>
        <c:ser>
          <c:idx val="0"/>
          <c:order val="0"/>
          <c:tx>
            <c:v>Contribution $</c:v>
          </c:tx>
          <c:cat>
            <c:strRef>
              <c:f>'Command_Center'!$J$12:$J$15</c:f>
              <c:strCache>
                <c:ptCount val="0"/>
              </c:strCache>
            </c:strRef>
          </c:cat>
          <c:val>
            <c:numRef>
              <c:f>'Command_Center'!$K$12:$K$15</c:f>
              <c:numCache>
                <c:formatCode>"$"#,##0;[Red]("$"#,##0);-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0"/>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Estimated Price / Cost Opportunity by Review ($)</a:t>
            </a:r>
          </a:p>
        </c:rich>
      </c:tx>
      <c:overlay val="0"/>
    </c:title>
    <c:plotArea>
      <c:barChart>
        <c:barDir val="col"/>
        <c:varyColors val="0"/>
        <c:ser>
          <c:idx val="0"/>
          <c:order val="0"/>
          <c:tx>
            <c:v>Est. Opportunity</c:v>
          </c:tx>
          <c:cat>
            <c:strRef>
              <c:f>'Command_Center'!$A$24:$A$31</c:f>
              <c:strCache>
                <c:ptCount val="0"/>
              </c:strCache>
            </c:strRef>
          </c:cat>
          <c:val>
            <c:numRef>
              <c:f>'Command_Center'!$B$24:$B$31</c:f>
              <c:numCache>
                <c:formatCode>"$"#,##0;[Red]("$"#,##0);-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0"/>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8</xdr:col>
      <xdr:colOff>0</xdr:colOff>
      <xdr:row>26</xdr:row>
      <xdr:rowOff>0</xdr:rowOff>
    </xdr:from>
    <xdr:to>
      <xdr:col>16</xdr:col>
      <xdr:colOff>0</xdr:colOff>
      <xdr:row>47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3c8f598e39a4b14"/>
        </a:graphicData>
      </a:graphic>
    </xdr:graphicFrame>
    <xdr:clientData/>
  </xdr:twoCellAnchor>
  <xdr:twoCellAnchor>
    <xdr:from>
      <xdr:col>0</xdr:col>
      <xdr:colOff>0</xdr:colOff>
      <xdr:row>33</xdr:row>
      <xdr:rowOff>0</xdr:rowOff>
    </xdr:from>
    <xdr:to>
      <xdr:col>8</xdr:col>
      <xdr:colOff>0</xdr:colOff>
      <xdr:row>47</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ae15ceecce447b6"/>
        </a:graphicData>
      </a:graphic>
    </xdr:graphicFrame>
    <xdr:clientData/>
  </xdr:twoCellAnchor>
</xdr:wsDr>
</file>

<file path=xl/persons/person.xml><?xml version="1.0" encoding="utf-8"?>
<xltc:personList xmlns:xltc="http://schemas.microsoft.com/office/spreadsheetml/2018/threadedcomments">
  <xltc:person displayName="Connor Buntin" id="{7BB8ECF7-D092-4D4A-AD63-10CB83681057}"/>
</xltc:personList>
</file>

<file path=xl/tables/table1.xml><?xml version="1.0" encoding="utf-8"?>
<x:table xmlns:x="http://schemas.openxmlformats.org/spreadsheetml/2006/main" id="1" name="SalesDetailTable" displayName="SalesDetailTable" ref="A1:K289" headerRowCount="1" totalsRowCount="0" totalsRowShown="0">
  <x:autoFilter ref="A1:K289"/>
  <x:tableColumns count="11">
    <x:tableColumn id="1" name="Invoice Date"/>
    <x:tableColumn id="2" name="Invoice"/>
    <x:tableColumn id="3" name="Customer"/>
    <x:tableColumn id="4" name="SKU"/>
    <x:tableColumn id="5" name="Units Shipped"/>
    <x:tableColumn id="6" name="Gross Sales"/>
    <x:tableColumn id="7" name="Discounts / Rebates"/>
    <x:tableColumn id="8" name="Returns / Credits"/>
    <x:tableColumn id="9" name="Net Sales"/>
    <x:tableColumn id="10" name="Outbound Freight"/>
    <x:tableColumn id="11" name="Commission / Fees"/>
  </x:tableColumns>
  <x:tableStyleInfo name="TableStyleMedium2" showFirstColumn="0" showLastColumn="0" showRowStripes="1" showColumnStripes="0"/>
</x:table>
</file>

<file path=xl/tables/table2.xml><?xml version="1.0" encoding="utf-8"?>
<x:table xmlns:x="http://schemas.openxmlformats.org/spreadsheetml/2006/main" id="2" name="ProductMasterTable" displayName="ProductMasterTable" ref="A1:N25" headerRowCount="1" totalsRowCount="0" totalsRowShown="0">
  <x:autoFilter ref="A1:N25"/>
  <x:tableColumns count="14">
    <x:tableColumn id="1" name="SKU"/>
    <x:tableColumn id="2" name="Description"/>
    <x:tableColumn id="3" name="Product Family"/>
    <x:tableColumn id="4" name="Production Line"/>
    <x:tableColumn id="5" name="Strategic?"/>
    <x:tableColumn id="6" name="Lifecycle"/>
    <x:tableColumn id="7" name="Target CM %"/>
    <x:tableColumn id="8" name="Standard Batch Units"/>
    <x:tableColumn id="9" name="UOM"/>
    <x:tableColumn id="10" name="Pack Size"/>
    <x:tableColumn id="11" name="Primary Owner"/>
    <x:tableColumn id="12" name="BOM Lines"/>
    <x:tableColumn id="13" name="Routing Rows"/>
    <x:tableColumn id="14" name="Master Data Status"/>
  </x:tableColumns>
  <x:tableStyleInfo name="TableStyleMedium2" showFirstColumn="0" showLastColumn="0" showRowStripes="1" showColumnStripes="0"/>
</x:table>
</file>

<file path=xl/tables/table3.xml><?xml version="1.0" encoding="utf-8"?>
<x:table xmlns:x="http://schemas.openxmlformats.org/spreadsheetml/2006/main" id="3" name="BOMCostTable" displayName="BOMCostTable" ref="A1:H121" headerRowCount="1" totalsRowCount="0" totalsRowShown="0">
  <x:autoFilter ref="A1:H121"/>
  <x:tableColumns count="8">
    <x:tableColumn id="1" name="SKU"/>
    <x:tableColumn id="2" name="Raw Material"/>
    <x:tableColumn id="3" name="Component"/>
    <x:tableColumn id="4" name="Cost Category"/>
    <x:tableColumn id="5" name="Qty / FG Unit"/>
    <x:tableColumn id="6" name="Standard Cost / UOM"/>
    <x:tableColumn id="7" name="Scrap %"/>
    <x:tableColumn id="8" name="Extended Cost / FG Unit"/>
  </x:tableColumns>
  <x:tableStyleInfo name="TableStyleMedium2" showFirstColumn="0" showLastColumn="0" showRowStripes="1" showColumnStripes="0"/>
</x:table>
</file>

<file path=xl/tables/table4.xml><?xml version="1.0" encoding="utf-8"?>
<x:table xmlns:x="http://schemas.openxmlformats.org/spreadsheetml/2006/main" id="4" name="RoutingTable" displayName="RoutingTable" ref="A1:S25" headerRowCount="1" totalsRowCount="0" totalsRowShown="0">
  <x:autoFilter ref="A1:S25"/>
  <x:tableColumns count="19">
    <x:tableColumn id="1" name="SKU"/>
    <x:tableColumn id="2" name="Production Line"/>
    <x:tableColumn id="3" name="Batch Units"/>
    <x:tableColumn id="4" name="Setup Hours / Batch"/>
    <x:tableColumn id="5" name="Run Labor Hours / Batch"/>
    <x:tableColumn id="6" name="Machine Run Hours / Batch"/>
    <x:tableColumn id="7" name="Rework Hours / Batch"/>
    <x:tableColumn id="8" name="Constrained Hours / Batch"/>
    <x:tableColumn id="9" name="Setup Share"/>
    <x:tableColumn id="10" name="Loaded DL Rate"/>
    <x:tableColumn id="11" name="DL Variable Factor"/>
    <x:tableColumn id="12" name="Variable Machine Rate"/>
    <x:tableColumn id="13" name="Setup / Changeover Cost / Unit"/>
    <x:tableColumn id="14" name="Run + Rework Conversion / Unit"/>
    <x:tableColumn id="15" name="Variable Conversion / Unit"/>
    <x:tableColumn id="16" name="Constrained Hours / Unit"/>
    <x:tableColumn id="17" name="OH Rate / Hour"/>
    <x:tableColumn id="18" name="Applied Fixed OH / Unit"/>
    <x:tableColumn id="19" name="Full Mfg Conversion / Unit"/>
  </x:tableColumns>
  <x:tableStyleInfo name="TableStyleMedium2" showFirstColumn="0" showLastColumn="0" showRowStripes="1" showColumnStripes="0"/>
</x:table>
</file>

<file path=xl/tables/table5.xml><?xml version="1.0" encoding="utf-8"?>
<x:table xmlns:x="http://schemas.openxmlformats.org/spreadsheetml/2006/main" id="5" name="SKUProfitabilityTable" displayName="SKUProfitabilityTable" ref="A1:AN25" headerRowCount="1" totalsRowCount="0" totalsRowShown="0">
  <x:autoFilter ref="A1:AN25"/>
  <x:tableColumns count="40">
    <x:tableColumn id="1" name="SKU"/>
    <x:tableColumn id="2" name="Description"/>
    <x:tableColumn id="3" name="Product Family"/>
    <x:tableColumn id="4" name="Production Line"/>
    <x:tableColumn id="5" name="Strategic?"/>
    <x:tableColumn id="6" name="Units Shipped"/>
    <x:tableColumn id="7" name="Gross Sales"/>
    <x:tableColumn id="8" name="Discounts / Rebates"/>
    <x:tableColumn id="9" name="Returns / Credits"/>
    <x:tableColumn id="10" name="Net Sales"/>
    <x:tableColumn id="11" name="Avg Net Price / Unit"/>
    <x:tableColumn id="12" name="Outbound Freight"/>
    <x:tableColumn id="13" name="Commission / Fees"/>
    <x:tableColumn id="14" name="Material Cost / Unit"/>
    <x:tableColumn id="15" name="Setup / Changeover Cost / Unit"/>
    <x:tableColumn id="16" name="Run + Rework Conversion / Unit"/>
    <x:tableColumn id="17" name="All-in Variable Cost / Unit"/>
    <x:tableColumn id="18" name="Annual Material Cost"/>
    <x:tableColumn id="19" name="Annual Conversion Cost"/>
    <x:tableColumn id="20" name="Contribution Margin $"/>
    <x:tableColumn id="21" name="Contribution Margin %"/>
    <x:tableColumn id="22" name="Constrained Hours"/>
    <x:tableColumn id="23" name="Contribution / Constrained Hr"/>
    <x:tableColumn id="24" name="Applied Fixed OH"/>
    <x:tableColumn id="25" name="Manufacturing COGS"/>
    <x:tableColumn id="26" name="Gross Profit"/>
    <x:tableColumn id="27" name="Gross Margin %"/>
    <x:tableColumn id="28" name="Allocated SKU Result"/>
    <x:tableColumn id="29" name="Allocated Result %"/>
    <x:tableColumn id="30" name="Target CM %"/>
    <x:tableColumn id="31" name="Price to Target CM"/>
    <x:tableColumn id="32" name="Price Gap / Unit"/>
    <x:tableColumn id="33" name="Estimated Annual Opportunity"/>
    <x:tableColumn id="34" name="Setup Share"/>
    <x:tableColumn id="35" name="Recommended Review"/>
    <x:tableColumn id="36" name="Data Quality"/>
    <x:tableColumn id="37" name="Action Sort Key (internal)"/>
    <x:tableColumn id="38" name="Action Rank"/>
    <x:tableColumn id="39" name="Contribution Rank"/>
    <x:tableColumn id="40" name="Opportunity Rank"/>
  </x:tableColumns>
  <x:tableStyleInfo name="TableStyleMedium2" showFirstColumn="0" showLastColumn="0" showRowStripes="1" showColumnStripes="0"/>
</x:table>
</file>

<file path=xl/tables/table6.xml><?xml version="1.0" encoding="utf-8"?>
<x:table xmlns:x="http://schemas.openxmlformats.org/spreadsheetml/2006/main" id="6" name="CustomerSKUDetailTable" displayName="CustomerSKUDetailTable" ref="A1:N73" headerRowCount="1" totalsRowCount="0" totalsRowShown="0">
  <x:autoFilter ref="A1:N73"/>
  <x:tableColumns count="14">
    <x:tableColumn id="1" name="Customer"/>
    <x:tableColumn id="2" name="SKU"/>
    <x:tableColumn id="3" name="Description"/>
    <x:tableColumn id="4" name="Units Shipped"/>
    <x:tableColumn id="5" name="Net Sales"/>
    <x:tableColumn id="6" name="Avg Net Price"/>
    <x:tableColumn id="7" name="Outbound Freight"/>
    <x:tableColumn id="8" name="Commission / Fees"/>
    <x:tableColumn id="9" name="Material Cost / Unit"/>
    <x:tableColumn id="10" name="Conversion Cost / Unit"/>
    <x:tableColumn id="11" name="Contribution Margin $"/>
    <x:tableColumn id="12" name="Contribution Margin %"/>
    <x:tableColumn id="13" name="Target CM %"/>
    <x:tableColumn id="14" name="Customer-SKU Review"/>
  </x:tableColumns>
  <x:tableStyleInfo name="TableStyleMedium2" showFirstColumn="0" showLastColumn="0" showRowStripes="1" showColumnStripes="0"/>
</x:table>
</file>

<file path=xl/tables/table7.xml><?xml version="1.0" encoding="utf-8"?>
<x:table xmlns:x="http://schemas.openxmlformats.org/spreadsheetml/2006/main" id="7" name="ActionListTable" displayName="ActionListTable" ref="A1:N25" headerRowCount="1" totalsRowCount="0" totalsRowShown="0">
  <x:autoFilter ref="A1:N25"/>
  <x:tableColumns count="14">
    <x:tableColumn id="1" name="Priority Rank"/>
    <x:tableColumn id="2" name="SKU"/>
    <x:tableColumn id="3" name="Description"/>
    <x:tableColumn id="4" name="Product Family"/>
    <x:tableColumn id="5" name="Production Line"/>
    <x:tableColumn id="6" name="Strategic?"/>
    <x:tableColumn id="7" name="Units"/>
    <x:tableColumn id="8" name="Net Sales"/>
    <x:tableColumn id="9" name="Contribution $"/>
    <x:tableColumn id="10" name="CM %"/>
    <x:tableColumn id="11" name="Contribution / Constrained Hr"/>
    <x:tableColumn id="12" name="Estimated Opportunity"/>
    <x:tableColumn id="13" name="Recommended Review"/>
    <x:tableColumn id="14" name="Primary Management Ques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9" dT="2026-09-01T01:22:21.291" personId="{7BB8ECF7-D092-4D4A-AD63-10CB83681057}" id="{744CA3D2-81EE-449E-A06F-721E3968B612}">
    <xltc:text>Direct labor is treated as 100% variable in this demo. Reducing this factor excludes the non-variable share from contribution margin only; full modeled direct labor remains in manufacturing COGS / gross profit.</xltc:text>
  </xltc:threadedComment>
  <xltc:threadedComment ref="D19" dT="2026-09-01T01:22:21.292" personId="{7BB8ECF7-D092-4D4A-AD63-10CB83681057}" id="{96B2B9C2-BAB2-45F3-82D1-0DDD070D3D92}">
    <xltc:text>Directional fixed manufacturing overhead rate = fixed line pool / practical capacity hours. Contribution margin remains visible because allocated overhead does not automatically disappear if a SKU is changed or discontinued.</xltc:text>
  </xltc:threadedComment>
</xltc:ThreadedComments>
</file>

<file path=xl/threadedcomments/threadedcomment2.xml><?xml version="1.0" encoding="utf-8"?>
<xltc:ThreadedComments xmlns:xltc="http://schemas.microsoft.com/office/spreadsheetml/2018/threadedcomments">
  <xltc:threadedComment ref="T2" dT="2026-09-01T01:22:21.942" personId="{7BB8ECF7-D092-4D4A-AD63-10CB83681057}" id="{C213F166-C5A2-421E-8409-B6ACF6FF9E7A}">
    <xltc:text>Contribution margin = net sales less outbound freight, commissions/fees, annual material cost and variable conversion cost. Direct labor behavior follows Cost_Assumptions.</xltc:text>
  </xltc:threadedComment>
  <xltc:threadedComment ref="Y2" dT="2026-09-01T01:22:21.942" personId="{7BB8ECF7-D092-4D4A-AD63-10CB83681057}" id="{9D084342-1924-4567-A387-86348C67ACA1}">
    <xltc:text>Manufacturing COGS includes material, full modeled manufacturing conversion and directional applied fixed manufacturing overhead. The direct-labor variable factor changes contribution margin classification, not gross profit.</xltc:text>
  </xltc:threadedComment>
  <xltc:threadedComment ref="X2" dT="2026-09-01T01:22:21.942" personId="{7BB8ECF7-D092-4D4A-AD63-10CB83681057}" id="{1709A80C-1BFB-429E-BCBA-B270AA8E4DE2}">
    <xltc:text>Applied fixed manufacturing overhead is directional and policy-dependent. It is kept separate from contribution margin and should not be interpreted as automatically avoidable.</xltc:text>
  </xltc:threadedComment>
  <xltc:threadedComment ref="AI2" dT="2026-09-01T01:22:21.943" personId="{7BB8ECF7-D092-4D4A-AD63-10CB83681057}" id="{2EC0F263-DA63-4D56-824D-68ADBC8BC6DD}">
    <xltc:text>Review priority order: data quality, strategic role, negative contribution, target-margin gap, setup/batch opportunity, constrained-hour return, protect-and-grow, then monitor.</xltc:text>
  </xltc:threadedComment>
  <xltc:threadedComment ref="AK2" dT="2026-09-01T01:22:21.943" personId="{7BB8ECF7-D092-4D4A-AD63-10CB83681057}" id="{620E745E-4FDF-4E1B-B910-301C8A488557}">
    <xltc:text>Action Sort Key is an internal sorting aid. Category priority dominates, then capped opportunity and negative-contribution tie breakers refine order. It is not a financial metric, forecast or valuation.</xltc:text>
  </xltc:threadedComment>
</xltc:ThreadedComments>
</file>

<file path=xl/worksheets/_rels/sheet1.xml.rels>&#65279;<?xml version="1.0" encoding="utf-8"?><Relationships xmlns="http://schemas.openxmlformats.org/package/2006/relationships"><Relationship Type="http://schemas.openxmlformats.org/officeDocument/2006/relationships/drawing" Target="/xl/drawings/drawing1.xml" Id="Rf41cb4d8e06c435b" /></Relationships>
</file>

<file path=xl/worksheets/_rels/sheet2.xml.rels>&#65279;<?xml version="1.0" encoding="utf-8"?><Relationships xmlns="http://schemas.openxmlformats.org/package/2006/relationships"><Relationship Type="http://schemas.openxmlformats.org/officeDocument/2006/relationships/table" Target="/xl/tables/table1.xml" Id="Raf7b8a14233545a9" /></Relationships>
</file>

<file path=xl/worksheets/_rels/sheet3.xml.rels>&#65279;<?xml version="1.0" encoding="utf-8"?><Relationships xmlns="http://schemas.openxmlformats.org/package/2006/relationships"><Relationship Type="http://schemas.openxmlformats.org/officeDocument/2006/relationships/table" Target="/xl/tables/table2.xml" Id="Rb42e4957f3ba4b4a" /></Relationships>
</file>

<file path=xl/worksheets/_rels/sheet4.xml.rels>&#65279;<?xml version="1.0" encoding="utf-8"?><Relationships xmlns="http://schemas.openxmlformats.org/package/2006/relationships"><Relationship Type="http://schemas.openxmlformats.org/officeDocument/2006/relationships/table" Target="/xl/tables/table3.xml" Id="R1c1a703b63da48e7" /></Relationships>
</file>

<file path=xl/worksheets/_rels/sheet5.xml.rels>&#65279;<?xml version="1.0" encoding="utf-8"?><Relationships xmlns="http://schemas.openxmlformats.org/package/2006/relationships"><Relationship Type="http://schemas.openxmlformats.org/officeDocument/2006/relationships/table" Target="/xl/tables/table4.xml" Id="Re81e7fdec19443ce" /></Relationships>
</file>

<file path=xl/worksheets/_rels/sheet6.xml.rels>&#65279;<?xml version="1.0" encoding="utf-8"?><Relationships xmlns="http://schemas.openxmlformats.org/package/2006/relationships"><Relationship Type="http://schemas.openxmlformats.org/officeDocument/2006/relationships/comments" Target="/xl/comments1.xml" Id="R8b674703bb1c4347" /><Relationship Type="http://schemas.openxmlformats.org/officeDocument/2006/relationships/vmlDrawing" Target="/xl/drawings/vmldrawing.vml" Id="R183121a2ed0d46a9" /><Relationship Type="http://schemas.microsoft.com/office/2017/10/relationships/threadedComment" Target="/xl/threadedcomments/threadedcomment.xml" Id="R08189375a1f946fe" /></Relationships>
</file>

<file path=xl/worksheets/_rels/sheet7.xml.rels>&#65279;<?xml version="1.0" encoding="utf-8"?><Relationships xmlns="http://schemas.openxmlformats.org/package/2006/relationships"><Relationship Type="http://schemas.openxmlformats.org/officeDocument/2006/relationships/comments" Target="/xl/comments2.xml" Id="Rabb6ad8e00c54b9d" /><Relationship Type="http://schemas.openxmlformats.org/officeDocument/2006/relationships/vmlDrawing" Target="/xl/drawings/vmldrawing2.vml" Id="R1ad7d2817217466b" /><Relationship Type="http://schemas.microsoft.com/office/2017/10/relationships/threadedComment" Target="/xl/threadedcomments/threadedcomment2.xml" Id="R8b17396c4ee14cf6" /><Relationship Type="http://schemas.openxmlformats.org/officeDocument/2006/relationships/table" Target="/xl/tables/table5.xml" Id="R89a4a79618784f1e" /></Relationships>
</file>

<file path=xl/worksheets/_rels/sheet8.xml.rels>&#65279;<?xml version="1.0" encoding="utf-8"?><Relationships xmlns="http://schemas.openxmlformats.org/package/2006/relationships"><Relationship Type="http://schemas.openxmlformats.org/officeDocument/2006/relationships/table" Target="/xl/tables/table6.xml" Id="Rd62359ab375e4b1d" /></Relationships>
</file>

<file path=xl/worksheets/_rels/sheet9.xml.rels>&#65279;<?xml version="1.0" encoding="utf-8"?><Relationships xmlns="http://schemas.openxmlformats.org/package/2006/relationships"><Relationship Type="http://schemas.openxmlformats.org/officeDocument/2006/relationships/table" Target="/xl/tables/table7.xml" Id="R546f1f0779564192" /></Relationships>
</file>

<file path=xl/worksheets/sheet1.xml><?xml version="1.0" encoding="utf-8"?>
<x:worksheet xmlns:x="http://schemas.openxmlformats.org/spreadsheetml/2006/main">
  <x:sheetViews>
    <x:sheetView showGridLines="0" workbookViewId="0"/>
  </x:sheetViews>
  <x:sheetFormatPr defaultRowHeight="15"/>
  <x:cols>
    <x:col min="1" max="1" width="21" hidden="0" customWidth="1"/>
    <x:col min="2" max="2" width="12" hidden="0" customWidth="1"/>
    <x:col min="3" max="3" width="26" hidden="0" customWidth="1"/>
    <x:col min="4" max="4" width="12" hidden="0" customWidth="1"/>
    <x:col min="5" max="5" width="17" hidden="0" customWidth="1"/>
    <x:col min="6" max="6" width="23" hidden="0" customWidth="1"/>
    <x:col min="7" max="7" width="13" hidden="0" customWidth="1"/>
    <x:col min="8" max="8" width="12" hidden="0" customWidth="1"/>
    <x:col min="9" max="9" width="3" hidden="0" customWidth="1"/>
    <x:col min="10" max="10" width="18" hidden="0" customWidth="1"/>
    <x:col min="11" max="11" width="17" hidden="0" customWidth="1"/>
    <x:col min="12" max="12" width="12" hidden="0" customWidth="1"/>
    <x:col min="13" max="13" width="17" hidden="0" customWidth="1"/>
    <x:col min="14" max="14" width="10" hidden="0" customWidth="1"/>
    <x:col min="15" max="15" width="13" hidden="0" customWidth="1"/>
    <x:col min="16" max="16" width="3" hidden="0" customWidth="1"/>
  </x:cols>
  <x:sheetData>
    <x:row r="1" ht="34" customHeight="1">
      <x:c r="A1" s="41" t="str">
        <x:v>CB3 WORKS  |  SKU MARGIN &amp; PROFITABILITY INTELLIGENCE</x:v>
      </x:c>
      <x:c r="B1" s="41"/>
      <x:c r="C1" s="41"/>
      <x:c r="D1" s="41"/>
      <x:c r="E1" s="41"/>
      <x:c r="F1" s="41"/>
      <x:c r="G1" s="41"/>
      <x:c r="H1" s="41"/>
      <x:c r="I1" s="41"/>
      <x:c r="J1" s="41"/>
      <x:c r="K1" s="41"/>
      <x:c r="L1" s="41"/>
      <x:c r="M1" s="41"/>
      <x:c r="N1" s="41"/>
      <x:c r="O1" s="41"/>
      <x:c r="P1" s="41"/>
    </x:row>
    <x:row r="3" ht="22" customHeight="1">
      <x:c r="A3" s="44" t="str">
        <x:v>MANUFACTURING DATA &amp; AUTOMATION  /  SYNTHETIC DEMO 03  /  CONTRIBUTION MODEL RECONCILED</x:v>
      </x:c>
      <x:c r="B3" s="44"/>
      <x:c r="C3" s="44"/>
      <x:c r="D3" s="44"/>
      <x:c r="E3" s="44"/>
      <x:c r="F3" s="44"/>
      <x:c r="G3" s="44"/>
      <x:c r="H3" s="44"/>
      <x:c r="I3" s="44"/>
      <x:c r="J3" s="44"/>
      <x:c r="K3" s="44"/>
      <x:c r="L3" s="44"/>
      <x:c r="M3" s="44"/>
      <x:c r="N3" s="44"/>
      <x:c r="O3" s="44"/>
      <x:c r="P3" s="44"/>
    </x:row>
    <x:row r="5">
      <x:c r="A5" s="88" t="str">
        <x:v>NET SALES</x:v>
      </x:c>
      <x:c r="B5" s="88"/>
      <x:c r="C5" s="88"/>
      <x:c r="D5" s="88"/>
      <x:c r="E5" s="88" t="str">
        <x:v>CONTRIBUTION MARGIN</x:v>
      </x:c>
      <x:c r="F5" s="88"/>
      <x:c r="G5" s="88"/>
      <x:c r="H5" s="88"/>
      <x:c r="I5" s="88" t="str">
        <x:v>WEIGHTED CONTRIBUTION %</x:v>
      </x:c>
      <x:c r="J5" s="88"/>
      <x:c r="K5" s="88"/>
      <x:c r="L5" s="88"/>
      <x:c r="M5" s="88" t="str">
        <x:v>EST. PRICE / COST OPPORTUNITY</x:v>
      </x:c>
      <x:c r="N5" s="88"/>
      <x:c r="O5" s="88"/>
      <x:c r="P5" s="88"/>
    </x:row>
    <x:row r="6">
      <x:c r="A6" s="120" t="n">
        <x:f>SUM('SKU_Profitability'!$J$2:$J$25)</x:f>
        <x:v>1599296.5055899522</x:v>
      </x:c>
      <x:c r="B6" s="121"/>
      <x:c r="C6" s="121"/>
      <x:c r="D6" s="122"/>
      <x:c r="E6" s="145" t="n">
        <x:f>SUM('SKU_Profitability'!$T$2:$T$25)</x:f>
        <x:v>487975.2077131471</x:v>
      </x:c>
      <x:c r="F6" s="146"/>
      <x:c r="G6" s="146"/>
      <x:c r="H6" s="147"/>
      <x:c r="I6" s="170" t="n">
        <x:f>IF(A6=0,0,E6/A6)</x:f>
        <x:v>0.3051186606158072</x:v>
      </x:c>
      <x:c r="J6" s="171"/>
      <x:c r="K6" s="171"/>
      <x:c r="L6" s="172"/>
      <x:c r="M6" s="195" t="n">
        <x:f>SUM('SKU_Profitability'!$AG$2:$AG$25)</x:f>
        <x:v>138234.8224899418</x:v>
      </x:c>
      <x:c r="N6" s="196"/>
      <x:c r="O6" s="196"/>
      <x:c r="P6" s="197"/>
    </x:row>
    <x:row r="7">
      <x:c r="A7" s="123"/>
      <x:c r="B7" s="124"/>
      <x:c r="C7" s="124"/>
      <x:c r="D7" s="125"/>
      <x:c r="E7" s="148"/>
      <x:c r="F7" s="149"/>
      <x:c r="G7" s="149"/>
      <x:c r="H7" s="150"/>
      <x:c r="I7" s="173"/>
      <x:c r="J7" s="174"/>
      <x:c r="K7" s="174"/>
      <x:c r="L7" s="175"/>
      <x:c r="M7" s="198"/>
      <x:c r="N7" s="199"/>
      <x:c r="O7" s="199"/>
      <x:c r="P7" s="200"/>
    </x:row>
    <x:row r="10">
      <x:c r="A10" s="40" t="str">
        <x:v>01 / PRIORITY SKU ACTIONS</x:v>
      </x:c>
      <x:c r="B10" s="40"/>
      <x:c r="C10" s="40"/>
      <x:c r="D10" s="40"/>
      <x:c r="E10" s="40"/>
      <x:c r="F10" s="40"/>
      <x:c r="G10" s="40"/>
      <x:c r="H10" s="40"/>
      <x:c r="J10" s="40" t="str">
        <x:v>02 / PRODUCT FAMILY ECONOMICS</x:v>
      </x:c>
      <x:c r="K10" s="40"/>
      <x:c r="L10" s="40"/>
      <x:c r="M10" s="40"/>
      <x:c r="N10" s="40"/>
      <x:c r="O10" s="40"/>
      <x:c r="P10" s="40"/>
    </x:row>
    <x:row r="11" ht="23" customHeight="1">
      <x:c r="A11" s="217" t="str">
        <x:v>Rank</x:v>
      </x:c>
      <x:c r="B11" s="218" t="str">
        <x:v>SKU</x:v>
      </x:c>
      <x:c r="C11" s="218" t="str">
        <x:v>Description</x:v>
      </x:c>
      <x:c r="D11" s="218" t="str">
        <x:v>CM %</x:v>
      </x:c>
      <x:c r="E11" s="218" t="str">
        <x:v>Est. Opportunity</x:v>
      </x:c>
      <x:c r="F11" s="218" t="str">
        <x:v>Recommended Review</x:v>
      </x:c>
      <x:c r="G11" s="218" t="str">
        <x:v>Line</x:v>
      </x:c>
      <x:c r="H11" s="219" t="str">
        <x:v>Strategic?</x:v>
      </x:c>
      <x:c r="J11" s="217" t="str">
        <x:v>Product Family</x:v>
      </x:c>
      <x:c r="K11" s="218" t="str">
        <x:v>Contribution $</x:v>
      </x:c>
      <x:c r="L11" s="218" t="str">
        <x:v>CM %</x:v>
      </x:c>
      <x:c r="M11" s="218" t="str">
        <x:v>Net Sales</x:v>
      </x:c>
      <x:c r="N11" s="218" t="str">
        <x:v>SKUs</x:v>
      </x:c>
      <x:c r="O11" s="219" t="str">
        <x:v>Below Target</x:v>
      </x:c>
    </x:row>
    <x:row r="12" ht="23" customHeight="1">
      <x:c r="A12" s="220" t="n">
        <x:f>'Action_List'!A2</x:f>
        <x:v>1</x:v>
      </x:c>
      <x:c r="B12" s="221" t="str">
        <x:f>'Action_List'!B2</x:f>
        <x:v>FG-024</x:v>
      </x:c>
      <x:c r="C12" s="221" t="str">
        <x:f>'Action_List'!C2</x:f>
        <x:v>Flex Red Product</x:v>
      </x:c>
      <x:c r="D12" s="222" t="n">
        <x:f>'Action_List'!J2</x:f>
        <x:v>0.22223779475565772</x:v>
      </x:c>
      <x:c r="E12" s="223" t="n">
        <x:f>'Action_List'!L2</x:f>
        <x:v>8505.971176529236</x:v>
      </x:c>
      <x:c r="F12" s="221" t="str">
        <x:f>'Action_List'!M2</x:f>
        <x:v>STRATEGIC REVIEW</x:v>
      </x:c>
      <x:c r="G12" s="221" t="str">
        <x:f>'Action_List'!E2</x:f>
        <x:v>Line 2</x:v>
      </x:c>
      <x:c r="H12" s="224" t="str">
        <x:f>'Action_List'!F2</x:f>
        <x:v>Yes</x:v>
      </x:c>
      <x:c r="J12" s="230" t="str">
        <x:v>Shield</x:v>
      </x:c>
      <x:c r="K12" s="231" t="n">
        <x:f>SUMIFS('SKU_Profitability'!$T$2:$T$25,'SKU_Profitability'!$C$2:$C$25,J12)</x:f>
        <x:v>143669.48329868517</x:v>
      </x:c>
      <x:c r="L12" s="232" t="n">
        <x:f>IF(M12=0,0,K12/M12)</x:f>
        <x:v>0.33065815393101256</x:v>
      </x:c>
      <x:c r="M12" s="231" t="n">
        <x:f>SUMIFS('SKU_Profitability'!$J$2:$J$25,'SKU_Profitability'!$C$2:$C$25,J12)</x:f>
        <x:v>434495.5102140318</x:v>
      </x:c>
      <x:c r="N12" s="233" t="n">
        <x:f>COUNTIF('SKU_Profitability'!$C$2:$C$25,J12)</x:f>
        <x:v>6</x:v>
      </x:c>
      <x:c r="O12" s="234" t="n">
        <x:f>SUMPRODUCT(--('SKU_Profitability'!$C$2:$C$25=J12),--('SKU_Profitability'!$U$2:$U$25&lt;'SKU_Profitability'!$AD$2:$AD$25))</x:f>
        <x:v>2</x:v>
      </x:c>
    </x:row>
    <x:row r="13" ht="23" customHeight="1">
      <x:c r="A13" s="220" t="n">
        <x:f>'Action_List'!A3</x:f>
        <x:v>2</x:v>
      </x:c>
      <x:c r="B13" s="221" t="str">
        <x:f>'Action_List'!B3</x:f>
        <x:v>FG-015</x:v>
      </x:c>
      <x:c r="C13" s="221" t="str">
        <x:f>'Action_List'!C3</x:f>
        <x:v>Prime Tan Product</x:v>
      </x:c>
      <x:c r="D13" s="222" t="n">
        <x:f>'Action_List'!J3</x:f>
        <x:v>0.21682890549913392</x:v>
      </x:c>
      <x:c r="E13" s="223" t="n">
        <x:f>'Action_List'!L3</x:f>
        <x:v>7061.11523441941</x:v>
      </x:c>
      <x:c r="F13" s="221" t="str">
        <x:f>'Action_List'!M3</x:f>
        <x:v>STRATEGIC REVIEW</x:v>
      </x:c>
      <x:c r="G13" s="221" t="str">
        <x:f>'Action_List'!E3</x:f>
        <x:v>Line 1</x:v>
      </x:c>
      <x:c r="H13" s="224" t="str">
        <x:f>'Action_List'!F3</x:f>
        <x:v>Yes</x:v>
      </x:c>
      <x:c r="J13" s="230" t="str">
        <x:v>Guard</x:v>
      </x:c>
      <x:c r="K13" s="231" t="n">
        <x:f>SUMIFS('SKU_Profitability'!$T$2:$T$25,'SKU_Profitability'!$C$2:$C$25,J13)</x:f>
        <x:v>114989.84808181245</x:v>
      </x:c>
      <x:c r="L13" s="232" t="n">
        <x:f>IF(M13=0,0,K13/M13)</x:f>
        <x:v>0.2976979000309133</x:v>
      </x:c>
      <x:c r="M13" s="231" t="n">
        <x:f>SUMIFS('SKU_Profitability'!$J$2:$J$25,'SKU_Profitability'!$C$2:$C$25,J13)</x:f>
        <x:v>386263.55130443233</x:v>
      </x:c>
      <x:c r="N13" s="233" t="n">
        <x:f>COUNTIF('SKU_Profitability'!$C$2:$C$25,J13)</x:f>
        <x:v>6</x:v>
      </x:c>
      <x:c r="O13" s="234" t="n">
        <x:f>SUMPRODUCT(--('SKU_Profitability'!$C$2:$C$25=J13),--('SKU_Profitability'!$U$2:$U$25&lt;'SKU_Profitability'!$AD$2:$AD$25))</x:f>
        <x:v>3</x:v>
      </x:c>
    </x:row>
    <x:row r="14" ht="23" customHeight="1">
      <x:c r="A14" s="220" t="n">
        <x:f>'Action_List'!A4</x:f>
        <x:v>3</x:v>
      </x:c>
      <x:c r="B14" s="221" t="str">
        <x:f>'Action_List'!B4</x:f>
        <x:v>FG-007</x:v>
      </x:c>
      <x:c r="C14" s="221" t="str">
        <x:f>'Action_List'!C4</x:f>
        <x:v>Guard White Product</x:v>
      </x:c>
      <x:c r="D14" s="222" t="n">
        <x:f>'Action_List'!J4</x:f>
        <x:v>0.2229106532979626</x:v>
      </x:c>
      <x:c r="E14" s="223" t="n">
        <x:f>'Action_List'!L4</x:f>
        <x:v>4497.534795143769</x:v>
      </x:c>
      <x:c r="F14" s="221" t="str">
        <x:f>'Action_List'!M4</x:f>
        <x:v>STRATEGIC REVIEW</x:v>
      </x:c>
      <x:c r="G14" s="221" t="str">
        <x:f>'Action_List'!E4</x:f>
        <x:v>Line 2</x:v>
      </x:c>
      <x:c r="H14" s="224" t="str">
        <x:f>'Action_List'!F4</x:f>
        <x:v>Yes</x:v>
      </x:c>
      <x:c r="J14" s="230" t="str">
        <x:v>Prime</x:v>
      </x:c>
      <x:c r="K14" s="231" t="n">
        <x:f>SUMIFS('SKU_Profitability'!$T$2:$T$25,'SKU_Profitability'!$C$2:$C$25,J14)</x:f>
        <x:v>102771.17835360262</x:v>
      </x:c>
      <x:c r="L14" s="232" t="n">
        <x:f>IF(M14=0,0,K14/M14)</x:f>
        <x:v>0.28879210044320514</x:v>
      </x:c>
      <x:c r="M14" s="231" t="n">
        <x:f>SUMIFS('SKU_Profitability'!$J$2:$J$25,'SKU_Profitability'!$C$2:$C$25,J14)</x:f>
        <x:v>355865.6147307393</x:v>
      </x:c>
      <x:c r="N14" s="233" t="n">
        <x:f>COUNTIF('SKU_Profitability'!$C$2:$C$25,J14)</x:f>
        <x:v>6</x:v>
      </x:c>
      <x:c r="O14" s="234" t="n">
        <x:f>SUMPRODUCT(--('SKU_Profitability'!$C$2:$C$25=J14),--('SKU_Profitability'!$U$2:$U$25&lt;'SKU_Profitability'!$AD$2:$AD$25))</x:f>
        <x:v>3</x:v>
      </x:c>
    </x:row>
    <x:row r="15" ht="23" customHeight="1">
      <x:c r="A15" s="220" t="n">
        <x:f>'Action_List'!A5</x:f>
        <x:v>4</x:v>
      </x:c>
      <x:c r="B15" s="221" t="str">
        <x:f>'Action_List'!B5</x:f>
        <x:v>FG-019</x:v>
      </x:c>
      <x:c r="C15" s="221" t="str">
        <x:f>'Action_List'!C5</x:f>
        <x:v>Flex White Product</x:v>
      </x:c>
      <x:c r="D15" s="222" t="n">
        <x:f>'Action_List'!J5</x:f>
        <x:v>-0.04639558873552496</x:v>
      </x:c>
      <x:c r="E15" s="223" t="n">
        <x:f>'Action_List'!L5</x:f>
        <x:v>19386.381833853557</x:v>
      </x:c>
      <x:c r="F15" s="221" t="str">
        <x:f>'Action_List'!M5</x:f>
        <x:v>IMMEDIATE REVIEW</x:v>
      </x:c>
      <x:c r="G15" s="221" t="str">
        <x:f>'Action_List'!E5</x:f>
        <x:v>Line 2</x:v>
      </x:c>
      <x:c r="H15" s="224" t="str">
        <x:f>'Action_List'!F5</x:f>
        <x:v>No</x:v>
      </x:c>
      <x:c r="J15" s="235" t="str">
        <x:v>Flex</x:v>
      </x:c>
      <x:c r="K15" s="236" t="n">
        <x:f>SUMIFS('SKU_Profitability'!$T$2:$T$25,'SKU_Profitability'!$C$2:$C$25,J15)</x:f>
        <x:v>126544.69797904688</x:v>
      </x:c>
      <x:c r="L15" s="237" t="n">
        <x:f>IF(M15=0,0,K15/M15)</x:f>
        <x:v>0.2993923162005416</x:v>
      </x:c>
      <x:c r="M15" s="236" t="n">
        <x:f>SUMIFS('SKU_Profitability'!$J$2:$J$25,'SKU_Profitability'!$C$2:$C$25,J15)</x:f>
        <x:v>422671.829340749</x:v>
      </x:c>
      <x:c r="N15" s="238" t="n">
        <x:f>COUNTIF('SKU_Profitability'!$C$2:$C$25,J15)</x:f>
        <x:v>6</x:v>
      </x:c>
      <x:c r="O15" s="239" t="n">
        <x:f>SUMPRODUCT(--('SKU_Profitability'!$C$2:$C$25=J15),--('SKU_Profitability'!$U$2:$U$25&lt;'SKU_Profitability'!$AD$2:$AD$25))</x:f>
        <x:v>3</x:v>
      </x:c>
    </x:row>
    <x:row r="16" ht="23" customHeight="1">
      <x:c r="A16" s="220" t="n">
        <x:f>'Action_List'!A6</x:f>
        <x:v>5</x:v>
      </x:c>
      <x:c r="B16" s="221" t="str">
        <x:f>'Action_List'!B6</x:f>
        <x:v>FG-008</x:v>
      </x:c>
      <x:c r="C16" s="221" t="str">
        <x:f>'Action_List'!C6</x:f>
        <x:v>Guard Black Product</x:v>
      </x:c>
      <x:c r="D16" s="222" t="n">
        <x:f>'Action_List'!J6</x:f>
        <x:v>-0.06206472783537353</x:v>
      </x:c>
      <x:c r="E16" s="223" t="n">
        <x:f>'Action_List'!L6</x:f>
        <x:v>17829.001184893</x:v>
      </x:c>
      <x:c r="F16" s="221" t="str">
        <x:f>'Action_List'!M6</x:f>
        <x:v>IMMEDIATE REVIEW</x:v>
      </x:c>
      <x:c r="G16" s="221" t="str">
        <x:f>'Action_List'!E6</x:f>
        <x:v>Line 2</x:v>
      </x:c>
      <x:c r="H16" s="224" t="str">
        <x:f>'Action_List'!F6</x:f>
        <x:v>No</x:v>
      </x:c>
    </x:row>
    <x:row r="17" ht="23" customHeight="1">
      <x:c r="A17" s="220" t="n">
        <x:f>'Action_List'!A7</x:f>
        <x:v>6</x:v>
      </x:c>
      <x:c r="B17" s="221" t="str">
        <x:f>'Action_List'!B7</x:f>
        <x:v>FG-001</x:v>
      </x:c>
      <x:c r="C17" s="221" t="str">
        <x:f>'Action_List'!C7</x:f>
        <x:v>Shield White Product</x:v>
      </x:c>
      <x:c r="D17" s="222" t="n">
        <x:f>'Action_List'!J7</x:f>
        <x:v>-0.039422499131286454</x:v>
      </x:c>
      <x:c r="E17" s="223" t="n">
        <x:f>'Action_List'!L7</x:f>
        <x:v>11615.44062766221</x:v>
      </x:c>
      <x:c r="F17" s="221" t="str">
        <x:f>'Action_List'!M7</x:f>
        <x:v>IMMEDIATE REVIEW</x:v>
      </x:c>
      <x:c r="G17" s="221" t="str">
        <x:f>'Action_List'!E7</x:f>
        <x:v>Line 1</x:v>
      </x:c>
      <x:c r="H17" s="224" t="str">
        <x:f>'Action_List'!F7</x:f>
        <x:v>No</x:v>
      </x:c>
    </x:row>
    <x:row r="18" ht="23" customHeight="1">
      <x:c r="A18" s="220" t="n">
        <x:f>'Action_List'!A8</x:f>
        <x:v>7</x:v>
      </x:c>
      <x:c r="B18" s="221" t="str">
        <x:f>'Action_List'!B8</x:f>
        <x:v>FG-023</x:v>
      </x:c>
      <x:c r="C18" s="221" t="str">
        <x:f>'Action_List'!C8</x:f>
        <x:v>Flex Gray Product</x:v>
      </x:c>
      <x:c r="D18" s="222" t="n">
        <x:f>'Action_List'!J8</x:f>
        <x:v>0.19986808319586788</x:v>
      </x:c>
      <x:c r="E18" s="223" t="n">
        <x:f>'Action_List'!L8</x:f>
        <x:v>14820.855838788624</x:v>
      </x:c>
      <x:c r="F18" s="221" t="str">
        <x:f>'Action_List'!M8</x:f>
        <x:v>PRICE / COST REVIEW</x:v>
      </x:c>
      <x:c r="G18" s="221" t="str">
        <x:f>'Action_List'!E8</x:f>
        <x:v>Line 2</x:v>
      </x:c>
      <x:c r="H18" s="224" t="str">
        <x:f>'Action_List'!F8</x:f>
        <x:v>No</x:v>
      </x:c>
      <x:c r="J18" s="40" t="str">
        <x:v>03 / WHAT THIS DEMO PROVES</x:v>
      </x:c>
      <x:c r="K18" s="40"/>
      <x:c r="L18" s="40"/>
      <x:c r="M18" s="40"/>
      <x:c r="N18" s="40"/>
      <x:c r="O18" s="40"/>
      <x:c r="P18" s="40"/>
    </x:row>
    <x:row r="19" ht="30" customHeight="1">
      <x:c r="A19" s="225" t="n">
        <x:f>'Action_List'!A9</x:f>
        <x:v>8</x:v>
      </x:c>
      <x:c r="B19" s="226" t="str">
        <x:f>'Action_List'!B9</x:f>
        <x:v>FG-014</x:v>
      </x:c>
      <x:c r="C19" s="226" t="str">
        <x:f>'Action_List'!C9</x:f>
        <x:v>Prime Black Product</x:v>
      </x:c>
      <x:c r="D19" s="227" t="n">
        <x:f>'Action_List'!J9</x:f>
        <x:v>0.16844867889072945</x:v>
      </x:c>
      <x:c r="E19" s="228" t="n">
        <x:f>'Action_List'!L9</x:f>
        <x:v>14651.90339642083</x:v>
      </x:c>
      <x:c r="F19" s="226" t="str">
        <x:f>'Action_List'!M9</x:f>
        <x:v>PRICE / COST REVIEW</x:v>
      </x:c>
      <x:c r="G19" s="226" t="str">
        <x:f>'Action_List'!E9</x:f>
        <x:v>Line 1</x:v>
      </x:c>
      <x:c r="H19" s="229" t="str">
        <x:f>'Action_List'!F9</x:f>
        <x:v>No</x:v>
      </x:c>
      <x:c r="J19" s="215" t="str">
        <x:v>1. Standard ERP invoice lines become a transaction-level SKU margin model</x:v>
      </x:c>
      <x:c r="K19" s="215"/>
      <x:c r="L19" s="215"/>
      <x:c r="M19" s="215"/>
      <x:c r="N19" s="215"/>
      <x:c r="O19" s="215"/>
      <x:c r="P19" s="215"/>
    </x:row>
    <x:row r="20" ht="23" customHeight="1">
      <x:c r="J20" s="215" t="str">
        <x:v>2. Discounts, returns, freight, BOM cost, scrap and conversion are separated</x:v>
      </x:c>
      <x:c r="K20" s="215"/>
      <x:c r="L20" s="215"/>
      <x:c r="M20" s="215"/>
      <x:c r="N20" s="215"/>
      <x:c r="O20" s="215"/>
      <x:c r="P20" s="215"/>
    </x:row>
    <x:row r="21" ht="23" customHeight="1">
      <x:c r="J21" s="215" t="str">
        <x:v>3. Contribution is compared with constrained production time—not just sales dollars</x:v>
      </x:c>
      <x:c r="K21" s="215"/>
      <x:c r="L21" s="215"/>
      <x:c r="M21" s="215"/>
      <x:c r="N21" s="215"/>
      <x:c r="O21" s="215"/>
      <x:c r="P21" s="215"/>
    </x:row>
    <x:row r="22" ht="23" customHeight="1">
      <x:c r="A22" s="40" t="str">
        <x:v>04 / ACTION PORTFOLIO</x:v>
      </x:c>
      <x:c r="B22" s="40"/>
      <x:c r="C22" s="40"/>
      <x:c r="D22" s="40"/>
      <x:c r="E22" s="40"/>
      <x:c r="F22" s="40"/>
      <x:c r="G22" s="40"/>
      <x:c r="H22" s="40"/>
      <x:c r="J22" s="215" t="str">
        <x:v>4. Low-margin averages can be traced to customer-SKU combinations</x:v>
      </x:c>
      <x:c r="K22" s="215"/>
      <x:c r="L22" s="215"/>
      <x:c r="M22" s="215"/>
      <x:c r="N22" s="215"/>
      <x:c r="O22" s="215"/>
      <x:c r="P22" s="215"/>
    </x:row>
    <x:row r="23" ht="23" customHeight="1">
      <x:c r="A23" s="217" t="str">
        <x:v>Recommended Review</x:v>
      </x:c>
      <x:c r="B23" s="218" t="str">
        <x:v>Est. Opportunity</x:v>
      </x:c>
      <x:c r="C23" s="218" t="str">
        <x:v>SKUs</x:v>
      </x:c>
      <x:c r="D23" s="218" t="str">
        <x:v>Contribution $</x:v>
      </x:c>
      <x:c r="E23" s="219" t="str">
        <x:v>Net Sales</x:v>
      </x:c>
      <x:c r="J23" s="215" t="str">
        <x:v>5. Every portfolio total reconciles to the supporting synthetic detail</x:v>
      </x:c>
      <x:c r="K23" s="215"/>
      <x:c r="L23" s="215"/>
      <x:c r="M23" s="215"/>
      <x:c r="N23" s="215"/>
      <x:c r="O23" s="215"/>
      <x:c r="P23" s="215"/>
    </x:row>
    <x:row r="24" ht="23" customHeight="1">
      <x:c r="A24" s="230" t="str">
        <x:v>DATA REVIEW</x:v>
      </x:c>
      <x:c r="B24" s="231" t="n">
        <x:f>SUMIFS('SKU_Profitability'!$AG$2:$AG$25,'SKU_Profitability'!$AI$2:$AI$25,A24)</x:f>
        <x:v>0</x:v>
      </x:c>
      <x:c r="C24" s="233" t="n">
        <x:f>COUNTIF('SKU_Profitability'!$AI$2:$AI$25,A24)</x:f>
        <x:v>0</x:v>
      </x:c>
      <x:c r="D24" s="231" t="n">
        <x:f>SUMIFS('SKU_Profitability'!$T$2:$T$25,'SKU_Profitability'!$AI$2:$AI$25,A24)</x:f>
        <x:v>0</x:v>
      </x:c>
      <x:c r="E24" s="240" t="n">
        <x:f>SUMIFS('SKU_Profitability'!$J$2:$J$25,'SKU_Profitability'!$AI$2:$AI$25,A24)</x:f>
        <x:v>0</x:v>
      </x:c>
      <x:c r="J24" s="216" t="str">
        <x:v>Demo 02 asks: Can we make it?  Demo 03 asks: Where should we grow, reprice, improve or review?</x:v>
      </x:c>
      <x:c r="K24" s="216"/>
      <x:c r="L24" s="216"/>
      <x:c r="M24" s="216"/>
      <x:c r="N24" s="216"/>
      <x:c r="O24" s="216"/>
      <x:c r="P24" s="216"/>
    </x:row>
    <x:row r="25" ht="23" customHeight="1">
      <x:c r="A25" s="230" t="str">
        <x:v>STRATEGIC REVIEW</x:v>
      </x:c>
      <x:c r="B25" s="231" t="n">
        <x:f>SUMIFS('SKU_Profitability'!$AG$2:$AG$25,'SKU_Profitability'!$AI$2:$AI$25,A25)</x:f>
        <x:v>20064.621206092415</x:v>
      </x:c>
      <x:c r="C25" s="233" t="n">
        <x:f>COUNTIF('SKU_Profitability'!$AI$2:$AI$25,A25)</x:f>
        <x:v>3</x:v>
      </x:c>
      <x:c r="D25" s="231" t="n">
        <x:f>SUMIFS('SKU_Profitability'!$T$2:$T$25,'SKU_Profitability'!$AI$2:$AI$25,A25)</x:f>
        <x:v>24501.978511969683</x:v>
      </x:c>
      <x:c r="E25" s="240" t="n">
        <x:f>SUMIFS('SKU_Profitability'!$J$2:$J$25,'SKU_Profitability'!$AI$2:$AI$25,A25)</x:f>
        <x:v>111146.21573735334</x:v>
      </x:c>
    </x:row>
    <x:row r="26" ht="23" customHeight="1">
      <x:c r="A26" s="230" t="str">
        <x:v>IMMEDIATE REVIEW</x:v>
      </x:c>
      <x:c r="B26" s="231" t="n">
        <x:f>SUMIFS('SKU_Profitability'!$AG$2:$AG$25,'SKU_Profitability'!$AI$2:$AI$25,A26)</x:f>
        <x:v>48830.82364640877</x:v>
      </x:c>
      <x:c r="C26" s="233" t="n">
        <x:f>COUNTIF('SKU_Profitability'!$AI$2:$AI$25,A26)</x:f>
        <x:v>3</x:v>
      </x:c>
      <x:c r="D26" s="231" t="n">
        <x:f>SUMIFS('SKU_Profitability'!$T$2:$T$25,'SKU_Profitability'!$AI$2:$AI$25,A26)</x:f>
        <x:v>-4198.835827146342</x:v>
      </x:c>
      <x:c r="E26" s="240" t="n">
        <x:f>SUMIFS('SKU_Profitability'!$J$2:$J$25,'SKU_Profitability'!$AI$2:$AI$25,A26)</x:f>
        <x:v>84645.05449146591</x:v>
      </x:c>
    </x:row>
    <x:row r="27" ht="23" customHeight="1">
      <x:c r="A27" s="230" t="str">
        <x:v>PRICE / COST REVIEW</x:v>
      </x:c>
      <x:c r="B27" s="231" t="n">
        <x:f>SUMIFS('SKU_Profitability'!$AG$2:$AG$25,'SKU_Profitability'!$AI$2:$AI$25,A27)</x:f>
        <x:v>69339.3776374406</x:v>
      </x:c>
      <x:c r="C27" s="233" t="n">
        <x:f>COUNTIF('SKU_Profitability'!$AI$2:$AI$25,A27)</x:f>
        <x:v>5</x:v>
      </x:c>
      <x:c r="D27" s="231" t="n">
        <x:f>SUMIFS('SKU_Profitability'!$T$2:$T$25,'SKU_Profitability'!$AI$2:$AI$25,A27)</x:f>
        <x:v>58686.2311414493</x:v>
      </x:c>
      <x:c r="E27" s="240" t="n">
        <x:f>SUMIFS('SKU_Profitability'!$J$2:$J$25,'SKU_Profitability'!$AI$2:$AI$25,A27)</x:f>
        <x:v>331880.3892025086</x:v>
      </x:c>
    </x:row>
    <x:row r="28" ht="23" customHeight="1">
      <x:c r="A28" s="230" t="str">
        <x:v>CAPACITY DRAG</x:v>
      </x:c>
      <x:c r="B28" s="231" t="n">
        <x:f>SUMIFS('SKU_Profitability'!$AG$2:$AG$25,'SKU_Profitability'!$AI$2:$AI$25,A28)</x:f>
        <x:v>0</x:v>
      </x:c>
      <x:c r="C28" s="233" t="n">
        <x:f>COUNTIF('SKU_Profitability'!$AI$2:$AI$25,A28)</x:f>
        <x:v>3</x:v>
      </x:c>
      <x:c r="D28" s="231" t="n">
        <x:f>SUMIFS('SKU_Profitability'!$T$2:$T$25,'SKU_Profitability'!$AI$2:$AI$25,A28)</x:f>
        <x:v>49132.346871758054</x:v>
      </x:c>
      <x:c r="E28" s="240" t="n">
        <x:f>SUMIFS('SKU_Profitability'!$J$2:$J$25,'SKU_Profitability'!$AI$2:$AI$25,A28)</x:f>
        <x:v>145215.3814482028</x:v>
      </x:c>
    </x:row>
    <x:row r="29" ht="23" customHeight="1">
      <x:c r="A29" s="230" t="str">
        <x:v>BATCH / MOQ REVIEW</x:v>
      </x:c>
      <x:c r="B29" s="231" t="n">
        <x:f>SUMIFS('SKU_Profitability'!$AG$2:$AG$25,'SKU_Profitability'!$AI$2:$AI$25,A29)</x:f>
        <x:v>0</x:v>
      </x:c>
      <x:c r="C29" s="233" t="n">
        <x:f>COUNTIF('SKU_Profitability'!$AI$2:$AI$25,A29)</x:f>
        <x:v>3</x:v>
      </x:c>
      <x:c r="D29" s="231" t="n">
        <x:f>SUMIFS('SKU_Profitability'!$T$2:$T$25,'SKU_Profitability'!$AI$2:$AI$25,A29)</x:f>
        <x:v>38325.99747735163</x:v>
      </x:c>
      <x:c r="E29" s="240" t="n">
        <x:f>SUMIFS('SKU_Profitability'!$J$2:$J$25,'SKU_Profitability'!$AI$2:$AI$25,A29)</x:f>
        <x:v>102750.05373424565</x:v>
      </x:c>
    </x:row>
    <x:row r="30" ht="23" customHeight="1">
      <x:c r="A30" s="230" t="str">
        <x:v>PROTECT &amp; GROW</x:v>
      </x:c>
      <x:c r="B30" s="231" t="n">
        <x:f>SUMIFS('SKU_Profitability'!$AG$2:$AG$25,'SKU_Profitability'!$AI$2:$AI$25,A30)</x:f>
        <x:v>0</x:v>
      </x:c>
      <x:c r="C30" s="233" t="n">
        <x:f>COUNTIF('SKU_Profitability'!$AI$2:$AI$25,A30)</x:f>
        <x:v>4</x:v>
      </x:c>
      <x:c r="D30" s="231" t="n">
        <x:f>SUMIFS('SKU_Profitability'!$T$2:$T$25,'SKU_Profitability'!$AI$2:$AI$25,A30)</x:f>
        <x:v>235980.79118883994</x:v>
      </x:c>
      <x:c r="E30" s="240" t="n">
        <x:f>SUMIFS('SKU_Profitability'!$J$2:$J$25,'SKU_Profitability'!$AI$2:$AI$25,A30)</x:f>
        <x:v>558004.4650841707</x:v>
      </x:c>
    </x:row>
    <x:row r="31" ht="23" customHeight="1">
      <x:c r="A31" s="235" t="str">
        <x:v>MONITOR</x:v>
      </x:c>
      <x:c r="B31" s="236" t="n">
        <x:f>SUMIFS('SKU_Profitability'!$AG$2:$AG$25,'SKU_Profitability'!$AI$2:$AI$25,A31)</x:f>
        <x:v>0</x:v>
      </x:c>
      <x:c r="C31" s="238" t="n">
        <x:f>COUNTIF('SKU_Profitability'!$AI$2:$AI$25,A31)</x:f>
        <x:v>3</x:v>
      </x:c>
      <x:c r="D31" s="236" t="n">
        <x:f>SUMIFS('SKU_Profitability'!$T$2:$T$25,'SKU_Profitability'!$AI$2:$AI$25,A31)</x:f>
        <x:v>85546.69834892487</x:v>
      </x:c>
      <x:c r="E31" s="241" t="n">
        <x:f>SUMIFS('SKU_Profitability'!$J$2:$J$25,'SKU_Profitability'!$AI$2:$AI$25,A31)</x:f>
        <x:v>265654.94589200546</x:v>
      </x:c>
    </x:row>
    <x:row r="50" ht="22" customHeight="1">
      <x:c r="A50" s="88" t="str">
        <x:v>CB3 WORKS  |  MANUFACTURING DATA &amp; AUTOMATION  |  CB3WORKS.COM  |  SYNTHETIC DEMO 03</x:v>
      </x:c>
      <x:c r="B50" s="88"/>
      <x:c r="C50" s="88"/>
      <x:c r="D50" s="88"/>
      <x:c r="E50" s="88"/>
      <x:c r="F50" s="88"/>
      <x:c r="G50" s="88"/>
      <x:c r="H50" s="88"/>
      <x:c r="I50" s="88"/>
      <x:c r="J50" s="88"/>
      <x:c r="K50" s="88"/>
      <x:c r="L50" s="88"/>
      <x:c r="M50" s="88"/>
      <x:c r="N50" s="88"/>
      <x:c r="O50" s="88"/>
      <x:c r="P50" s="88"/>
    </x:row>
  </x:sheetData>
  <x:mergeCells>
    <x:mergeCell ref="A1:P1"/>
    <x:mergeCell ref="A3:P3"/>
    <x:mergeCell ref="A5:D5"/>
    <x:mergeCell ref="A6:D7"/>
    <x:mergeCell ref="E5:H5"/>
    <x:mergeCell ref="E6:H7"/>
    <x:mergeCell ref="I5:L5"/>
    <x:mergeCell ref="I6:L7"/>
    <x:mergeCell ref="M5:P5"/>
    <x:mergeCell ref="M6:P7"/>
    <x:mergeCell ref="A10:H10"/>
    <x:mergeCell ref="J10:P10"/>
    <x:mergeCell ref="J18:P18"/>
    <x:mergeCell ref="J19:P19"/>
    <x:mergeCell ref="J20:P20"/>
    <x:mergeCell ref="J21:P21"/>
    <x:mergeCell ref="J22:P22"/>
    <x:mergeCell ref="J23:P23"/>
    <x:mergeCell ref="J24:P24"/>
    <x:mergeCell ref="A22:H22"/>
    <x:mergeCell ref="A50:P50"/>
  </x:mergeCells>
  <x:conditionalFormatting sqref="F12:F19">
    <x:cfRule type="containsText" dxfId="11" priority="1" operator="containsText" text="IMMEDIATE"/>
    <x:cfRule type="containsText" dxfId="12" priority="2" operator="containsText" text="PROTECT"/>
  </x:conditionalFormatting>
  <x:pageMargins left="0.7" right="0.7" top="0.75" bottom="0.75" header="0.3" footer="0.3"/>
  <x:drawing xmlns:r="http://schemas.openxmlformats.org/officeDocument/2006/relationships" r:id="Rf41cb4d8e06c435b"/>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4" hidden="0" customWidth="1"/>
    <x:col min="3" max="3" width="21" hidden="0" customWidth="1"/>
    <x:col min="4" max="4" width="11" hidden="0" customWidth="1"/>
    <x:col min="5" max="5" width="13" hidden="0" customWidth="1"/>
    <x:col min="6" max="6" width="14" hidden="0" customWidth="1"/>
    <x:col min="7" max="7" width="17" hidden="0" customWidth="1"/>
    <x:col min="8" max="8" width="16" hidden="0" customWidth="1"/>
    <x:col min="9" max="9" width="14" hidden="0" customWidth="1"/>
    <x:col min="10" max="10" width="17" hidden="0" customWidth="1"/>
    <x:col min="11" max="11" width="17" hidden="0" customWidth="1"/>
  </x:cols>
  <x:sheetData>
    <x:row r="1" ht="30" customHeight="1">
      <x:c r="A1" s="20" t="str">
        <x:v>Invoice Date</x:v>
      </x:c>
      <x:c r="B1" s="21" t="str">
        <x:v>Invoice</x:v>
      </x:c>
      <x:c r="C1" s="21" t="str">
        <x:v>Customer</x:v>
      </x:c>
      <x:c r="D1" s="21" t="str">
        <x:v>SKU</x:v>
      </x:c>
      <x:c r="E1" s="21" t="str">
        <x:v>Units Shipped</x:v>
      </x:c>
      <x:c r="F1" s="21" t="str">
        <x:v>Gross Sales</x:v>
      </x:c>
      <x:c r="G1" s="21" t="str">
        <x:v>Discounts / Rebates</x:v>
      </x:c>
      <x:c r="H1" s="21" t="str">
        <x:v>Returns / Credits</x:v>
      </x:c>
      <x:c r="I1" s="21" t="str">
        <x:v>Net Sales</x:v>
      </x:c>
      <x:c r="J1" s="21" t="str">
        <x:v>Outbound Freight</x:v>
      </x:c>
      <x:c r="K1" s="21" t="str">
        <x:v>Commission / Fees</x:v>
      </x:c>
    </x:row>
    <x:row r="2">
      <x:c r="A2" s="22" t="n">
        <x:v>45915</x:v>
      </x:c>
      <x:c r="B2" s="7" t="str">
        <x:v>INV-100001</x:v>
      </x:c>
      <x:c r="C2" s="7" t="str">
        <x:v>Sample Customer A</x:v>
      </x:c>
      <x:c r="D2" s="7" t="str">
        <x:v>FG-001</x:v>
      </x:c>
      <x:c r="E2" s="24" t="n">
        <x:v>110</x:v>
      </x:c>
      <x:c r="F2" s="26" t="n">
        <x:v>1587.4000970531768</x:v>
      </x:c>
      <x:c r="G2" s="26" t="n">
        <x:v>39.68500242632942</x:v>
      </x:c>
      <x:c r="H2" s="26" t="n">
        <x:v>45.71712279513149</x:v>
      </x:c>
      <x:c r="I2" s="26" t="n">
        <x:f>F2-G2-H2</x:f>
        <x:v>1501.9979718317159</x:v>
      </x:c>
      <x:c r="J2" s="26" t="n">
        <x:v>247.5</x:v>
      </x:c>
      <x:c r="K2" s="27" t="n">
        <x:v>27.035963492970883</x:v>
      </x:c>
    </x:row>
    <x:row r="3">
      <x:c r="A3" s="22" t="n">
        <x:v>45945</x:v>
      </x:c>
      <x:c r="B3" s="7" t="str">
        <x:v>INV-100002</x:v>
      </x:c>
      <x:c r="C3" s="7" t="str">
        <x:v>Sample Customer C</x:v>
      </x:c>
      <x:c r="D3" s="7" t="str">
        <x:v>FG-001</x:v>
      </x:c>
      <x:c r="E3" s="24" t="n">
        <x:v>120</x:v>
      </x:c>
      <x:c r="F3" s="26" t="n">
        <x:v>1785.267213180705</x:v>
      </x:c>
      <x:c r="G3" s="26" t="n">
        <x:v>44.63168032951763</x:v>
      </x:c>
      <x:c r="H3" s="26" t="n">
        <x:v>11.782763606992654</x:v>
      </x:c>
      <x:c r="I3" s="26" t="n">
        <x:f>F3-G3-H3</x:f>
        <x:v>1728.8527692441949</x:v>
      </x:c>
      <x:c r="J3" s="26" t="n">
        <x:v>270</x:v>
      </x:c>
      <x:c r="K3" s="27" t="n">
        <x:v>31.119349846395504</x:v>
      </x:c>
    </x:row>
    <x:row r="4">
      <x:c r="A4" s="22" t="n">
        <x:v>45976</x:v>
      </x:c>
      <x:c r="B4" s="7" t="str">
        <x:v>INV-100003</x:v>
      </x:c>
      <x:c r="C4" s="7" t="str">
        <x:v>Sample Customer E</x:v>
      </x:c>
      <x:c r="D4" s="7" t="str">
        <x:v>FG-001</x:v>
      </x:c>
      <x:c r="E4" s="24" t="n">
        <x:v>130</x:v>
      </x:c>
      <x:c r="F4" s="26" t="n">
        <x:v>1992.0606653741365</x:v>
      </x:c>
      <x:c r="G4" s="26" t="n">
        <x:v>49.80151663435342</x:v>
      </x:c>
      <x:c r="H4" s="26" t="n">
        <x:v>13.147600391469302</x:v>
      </x:c>
      <x:c r="I4" s="26" t="n">
        <x:f>F4-G4-H4</x:f>
        <x:v>1929.1115483483138</x:v>
      </x:c>
      <x:c r="J4" s="26" t="n">
        <x:v>345.15</x:v>
      </x:c>
      <x:c r="K4" s="27" t="n">
        <x:v>34.724007870269645</x:v>
      </x:c>
    </x:row>
    <x:row r="5">
      <x:c r="A5" s="22" t="n">
        <x:v>46006</x:v>
      </x:c>
      <x:c r="B5" s="7" t="str">
        <x:v>INV-100004</x:v>
      </x:c>
      <x:c r="C5" s="7" t="str">
        <x:v>Sample Customer A</x:v>
      </x:c>
      <x:c r="D5" s="7" t="str">
        <x:v>FG-001</x:v>
      </x:c>
      <x:c r="E5" s="24" t="n">
        <x:v>140</x:v>
      </x:c>
      <x:c r="F5" s="26" t="n">
        <x:v>2020.3273962494977</x:v>
      </x:c>
      <x:c r="G5" s="26" t="n">
        <x:v>50.508184906237446</x:v>
      </x:c>
      <x:c r="H5" s="26" t="n">
        <x:v>13.334160815246687</x:v>
      </x:c>
      <x:c r="I5" s="26" t="n">
        <x:f>F5-G5-H5</x:f>
        <x:v>1956.4850505280137</x:v>
      </x:c>
      <x:c r="J5" s="26" t="n">
        <x:v>315</x:v>
      </x:c>
      <x:c r="K5" s="27" t="n">
        <x:v>35.21673090950424</x:v>
      </x:c>
    </x:row>
    <x:row r="6">
      <x:c r="A6" s="22" t="n">
        <x:v>46037</x:v>
      </x:c>
      <x:c r="B6" s="7" t="str">
        <x:v>INV-100005</x:v>
      </x:c>
      <x:c r="C6" s="7" t="str">
        <x:v>Sample Customer C</x:v>
      </x:c>
      <x:c r="D6" s="7" t="str">
        <x:v>FG-001</x:v>
      </x:c>
      <x:c r="E6" s="24" t="n">
        <x:v>150</x:v>
      </x:c>
      <x:c r="F6" s="26" t="n">
        <x:v>2231.584016475881</x:v>
      </x:c>
      <x:c r="G6" s="26" t="n">
        <x:v>55.78960041189703</x:v>
      </x:c>
      <x:c r="H6" s="26" t="n">
        <x:v>14.728454508740818</x:v>
      </x:c>
      <x:c r="I6" s="26" t="n">
        <x:f>F6-G6-H6</x:f>
        <x:v>2161.065961555243</x:v>
      </x:c>
      <x:c r="J6" s="26" t="n">
        <x:v>337.5</x:v>
      </x:c>
      <x:c r="K6" s="27" t="n">
        <x:v>38.899187307994374</x:v>
      </x:c>
    </x:row>
    <x:row r="7">
      <x:c r="A7" s="22" t="n">
        <x:v>46068</x:v>
      </x:c>
      <x:c r="B7" s="7" t="str">
        <x:v>INV-100006</x:v>
      </x:c>
      <x:c r="C7" s="7" t="str">
        <x:v>Sample Customer E</x:v>
      </x:c>
      <x:c r="D7" s="7" t="str">
        <x:v>FG-001</x:v>
      </x:c>
      <x:c r="E7" s="24" t="n">
        <x:v>160</x:v>
      </x:c>
      <x:c r="F7" s="26" t="n">
        <x:v>2451.766972768168</x:v>
      </x:c>
      <x:c r="G7" s="26" t="n">
        <x:v>61.29417431920421</x:v>
      </x:c>
      <x:c r="H7" s="26" t="n">
        <x:v>16.18166202026991</x:v>
      </x:c>
      <x:c r="I7" s="26" t="n">
        <x:f>F7-G7-H7</x:f>
        <x:v>2374.2911364286942</x:v>
      </x:c>
      <x:c r="J7" s="26" t="n">
        <x:v>424.79999999999995</x:v>
      </x:c>
      <x:c r="K7" s="27" t="n">
        <x:v>42.737240455716496</x:v>
      </x:c>
    </x:row>
    <x:row r="8">
      <x:c r="A8" s="22" t="n">
        <x:v>46096</x:v>
      </x:c>
      <x:c r="B8" s="7" t="str">
        <x:v>INV-100007</x:v>
      </x:c>
      <x:c r="C8" s="7" t="str">
        <x:v>Sample Customer A</x:v>
      </x:c>
      <x:c r="D8" s="7" t="str">
        <x:v>FG-001</x:v>
      </x:c>
      <x:c r="E8" s="24" t="n">
        <x:v>110</x:v>
      </x:c>
      <x:c r="F8" s="26" t="n">
        <x:v>1587.4000970531768</x:v>
      </x:c>
      <x:c r="G8" s="26" t="n">
        <x:v>39.68500242632942</x:v>
      </x:c>
      <x:c r="H8" s="26" t="n">
        <x:v>10.476840640550968</x:v>
      </x:c>
      <x:c r="I8" s="26" t="n">
        <x:f>F8-G8-H8</x:f>
        <x:v>1537.2382539862963</x:v>
      </x:c>
      <x:c r="J8" s="26" t="n">
        <x:v>247.5</x:v>
      </x:c>
      <x:c r="K8" s="27" t="n">
        <x:v>27.670288571753332</x:v>
      </x:c>
    </x:row>
    <x:row r="9">
      <x:c r="A9" s="22" t="n">
        <x:v>46127</x:v>
      </x:c>
      <x:c r="B9" s="7" t="str">
        <x:v>INV-100008</x:v>
      </x:c>
      <x:c r="C9" s="7" t="str">
        <x:v>Sample Customer C</x:v>
      </x:c>
      <x:c r="D9" s="7" t="str">
        <x:v>FG-001</x:v>
      </x:c>
      <x:c r="E9" s="24" t="n">
        <x:v>120</x:v>
      </x:c>
      <x:c r="F9" s="26" t="n">
        <x:v>1785.267213180705</x:v>
      </x:c>
      <x:c r="G9" s="26" t="n">
        <x:v>44.63168032951763</x:v>
      </x:c>
      <x:c r="H9" s="26" t="n">
        <x:v>11.782763606992654</x:v>
      </x:c>
      <x:c r="I9" s="26" t="n">
        <x:f>F9-G9-H9</x:f>
        <x:v>1728.8527692441949</x:v>
      </x:c>
      <x:c r="J9" s="26" t="n">
        <x:v>270</x:v>
      </x:c>
      <x:c r="K9" s="27" t="n">
        <x:v>31.119349846395504</x:v>
      </x:c>
    </x:row>
    <x:row r="10">
      <x:c r="A10" s="22" t="n">
        <x:v>46157</x:v>
      </x:c>
      <x:c r="B10" s="7" t="str">
        <x:v>INV-100009</x:v>
      </x:c>
      <x:c r="C10" s="7" t="str">
        <x:v>Sample Customer E</x:v>
      </x:c>
      <x:c r="D10" s="7" t="str">
        <x:v>FG-001</x:v>
      </x:c>
      <x:c r="E10" s="24" t="n">
        <x:v>130</x:v>
      </x:c>
      <x:c r="F10" s="26" t="n">
        <x:v>1992.0606653741365</x:v>
      </x:c>
      <x:c r="G10" s="26" t="n">
        <x:v>49.80151663435342</x:v>
      </x:c>
      <x:c r="H10" s="26" t="n">
        <x:v>13.147600391469302</x:v>
      </x:c>
      <x:c r="I10" s="26" t="n">
        <x:f>F10-G10-H10</x:f>
        <x:v>1929.1115483483138</x:v>
      </x:c>
      <x:c r="J10" s="26" t="n">
        <x:v>345.15</x:v>
      </x:c>
      <x:c r="K10" s="27" t="n">
        <x:v>34.724007870269645</x:v>
      </x:c>
    </x:row>
    <x:row r="11">
      <x:c r="A11" s="22" t="n">
        <x:v>46188</x:v>
      </x:c>
      <x:c r="B11" s="7" t="str">
        <x:v>INV-100010</x:v>
      </x:c>
      <x:c r="C11" s="7" t="str">
        <x:v>Sample Customer A</x:v>
      </x:c>
      <x:c r="D11" s="7" t="str">
        <x:v>FG-001</x:v>
      </x:c>
      <x:c r="E11" s="24" t="n">
        <x:v>140</x:v>
      </x:c>
      <x:c r="F11" s="26" t="n">
        <x:v>2020.3273962494977</x:v>
      </x:c>
      <x:c r="G11" s="26" t="n">
        <x:v>50.508184906237446</x:v>
      </x:c>
      <x:c r="H11" s="26" t="n">
        <x:v>13.334160815246687</x:v>
      </x:c>
      <x:c r="I11" s="26" t="n">
        <x:f>F11-G11-H11</x:f>
        <x:v>1956.4850505280137</x:v>
      </x:c>
      <x:c r="J11" s="26" t="n">
        <x:v>315</x:v>
      </x:c>
      <x:c r="K11" s="27" t="n">
        <x:v>35.21673090950424</x:v>
      </x:c>
    </x:row>
    <x:row r="12">
      <x:c r="A12" s="22" t="n">
        <x:v>46218</x:v>
      </x:c>
      <x:c r="B12" s="7" t="str">
        <x:v>INV-100011</x:v>
      </x:c>
      <x:c r="C12" s="7" t="str">
        <x:v>Sample Customer C</x:v>
      </x:c>
      <x:c r="D12" s="7" t="str">
        <x:v>FG-001</x:v>
      </x:c>
      <x:c r="E12" s="24" t="n">
        <x:v>150</x:v>
      </x:c>
      <x:c r="F12" s="26" t="n">
        <x:v>2231.584016475881</x:v>
      </x:c>
      <x:c r="G12" s="26" t="n">
        <x:v>55.78960041189703</x:v>
      </x:c>
      <x:c r="H12" s="26" t="n">
        <x:v>14.728454508740818</x:v>
      </x:c>
      <x:c r="I12" s="26" t="n">
        <x:f>F12-G12-H12</x:f>
        <x:v>2161.065961555243</x:v>
      </x:c>
      <x:c r="J12" s="26" t="n">
        <x:v>337.5</x:v>
      </x:c>
      <x:c r="K12" s="27" t="n">
        <x:v>38.899187307994374</x:v>
      </x:c>
    </x:row>
    <x:row r="13">
      <x:c r="A13" s="22" t="n">
        <x:v>46249</x:v>
      </x:c>
      <x:c r="B13" s="7" t="str">
        <x:v>INV-100012</x:v>
      </x:c>
      <x:c r="C13" s="7" t="str">
        <x:v>Sample Customer E</x:v>
      </x:c>
      <x:c r="D13" s="7" t="str">
        <x:v>FG-001</x:v>
      </x:c>
      <x:c r="E13" s="24" t="n">
        <x:v>160</x:v>
      </x:c>
      <x:c r="F13" s="26" t="n">
        <x:v>2451.766972768168</x:v>
      </x:c>
      <x:c r="G13" s="26" t="n">
        <x:v>61.29417431920421</x:v>
      </x:c>
      <x:c r="H13" s="26" t="n">
        <x:v>16.18166202026991</x:v>
      </x:c>
      <x:c r="I13" s="26" t="n">
        <x:f>F13-G13-H13</x:f>
        <x:v>2374.2911364286942</x:v>
      </x:c>
      <x:c r="J13" s="26" t="n">
        <x:v>424.79999999999995</x:v>
      </x:c>
      <x:c r="K13" s="27" t="n">
        <x:v>42.737240455716496</x:v>
      </x:c>
    </x:row>
    <x:row r="14">
      <x:c r="A14" s="22" t="n">
        <x:v>45915</x:v>
      </x:c>
      <x:c r="B14" s="7" t="str">
        <x:v>INV-100013</x:v>
      </x:c>
      <x:c r="C14" s="7" t="str">
        <x:v>Sample Customer B</x:v>
      </x:c>
      <x:c r="D14" s="7" t="str">
        <x:v>FG-002</x:v>
      </x:c>
      <x:c r="E14" s="24" t="n">
        <x:v>235</x:v>
      </x:c>
      <x:c r="F14" s="26" t="n">
        <x:v>4276.67732116395</x:v>
      </x:c>
      <x:c r="G14" s="26" t="n">
        <x:v>132.57699695608247</x:v>
      </x:c>
      <x:c r="H14" s="26" t="n">
        <x:v>9.408690106560691</x:v>
      </x:c>
      <x:c r="I14" s="26" t="n">
        <x:f>F14-G14-H14</x:f>
        <x:v>4134.6916341013075</x:v>
      </x:c>
      <x:c r="J14" s="26" t="n">
        <x:v>728.5</x:v>
      </x:c>
      <x:c r="K14" s="27" t="n">
        <x:v>90.96321595022876</x:v>
      </x:c>
    </x:row>
    <x:row r="15">
      <x:c r="A15" s="22" t="n">
        <x:v>45945</x:v>
      </x:c>
      <x:c r="B15" s="7" t="str">
        <x:v>INV-100014</x:v>
      </x:c>
      <x:c r="C15" s="7" t="str">
        <x:v>Sample Customer D</x:v>
      </x:c>
      <x:c r="D15" s="7" t="str">
        <x:v>FG-002</x:v>
      </x:c>
      <x:c r="E15" s="24" t="n">
        <x:v>250</x:v>
      </x:c>
      <x:c r="F15" s="26" t="n">
        <x:v>4690.367757363402</x:v>
      </x:c>
      <x:c r="G15" s="26" t="n">
        <x:v>145.40140047826546</x:v>
      </x:c>
      <x:c r="H15" s="26" t="n">
        <x:v>10.318809066199485</x:v>
      </x:c>
      <x:c r="I15" s="26" t="n">
        <x:f>F15-G15-H15</x:f>
        <x:v>4534.647547818937</x:v>
      </x:c>
      <x:c r="J15" s="26" t="n">
        <x:v>775</x:v>
      </x:c>
      <x:c r="K15" s="27" t="n">
        <x:v>99.76224605201661</x:v>
      </x:c>
    </x:row>
    <x:row r="16">
      <x:c r="A16" s="22" t="n">
        <x:v>45976</x:v>
      </x:c>
      <x:c r="B16" s="7" t="str">
        <x:v>INV-100015</x:v>
      </x:c>
      <x:c r="C16" s="7" t="str">
        <x:v>Sample Customer F</x:v>
      </x:c>
      <x:c r="D16" s="7" t="str">
        <x:v>FG-002</x:v>
      </x:c>
      <x:c r="E16" s="24" t="n">
        <x:v>270</x:v>
      </x:c>
      <x:c r="F16" s="26" t="n">
        <x:v>5217.5650932910485</x:v>
      </x:c>
      <x:c r="G16" s="26" t="n">
        <x:v>161.74451789202251</x:v>
      </x:c>
      <x:c r="H16" s="26" t="n">
        <x:v>50.08862489559406</x:v>
      </x:c>
      <x:c r="I16" s="26" t="n">
        <x:f>F16-G16-H16</x:f>
        <x:v>5005.731950503432</x:v>
      </x:c>
      <x:c r="J16" s="26" t="n">
        <x:v>1129.95</x:v>
      </x:c>
      <x:c r="K16" s="27" t="n">
        <x:v>110.12610291107549</x:v>
      </x:c>
    </x:row>
    <x:row r="17">
      <x:c r="A17" s="22" t="n">
        <x:v>46006</x:v>
      </x:c>
      <x:c r="B17" s="7" t="str">
        <x:v>INV-100016</x:v>
      </x:c>
      <x:c r="C17" s="7" t="str">
        <x:v>Sample Customer B</x:v>
      </x:c>
      <x:c r="D17" s="7" t="str">
        <x:v>FG-002</x:v>
      </x:c>
      <x:c r="E17" s="24" t="n">
        <x:v>290</x:v>
      </x:c>
      <x:c r="F17" s="26" t="n">
        <x:v>5277.6018005853</x:v>
      </x:c>
      <x:c r="G17" s="26" t="n">
        <x:v>163.6056558181443</x:v>
      </x:c>
      <x:c r="H17" s="26" t="n">
        <x:v>11.610723961287661</x:v>
      </x:c>
      <x:c r="I17" s="26" t="n">
        <x:f>F17-G17-H17</x:f>
        <x:v>5102.385420805868</x:v>
      </x:c>
      <x:c r="J17" s="26" t="n">
        <x:v>899</x:v>
      </x:c>
      <x:c r="K17" s="27" t="n">
        <x:v>112.25247925772909</x:v>
      </x:c>
    </x:row>
    <x:row r="18">
      <x:c r="A18" s="22" t="n">
        <x:v>46037</x:v>
      </x:c>
      <x:c r="B18" s="7" t="str">
        <x:v>INV-100017</x:v>
      </x:c>
      <x:c r="C18" s="7" t="str">
        <x:v>Sample Customer D</x:v>
      </x:c>
      <x:c r="D18" s="7" t="str">
        <x:v>FG-002</x:v>
      </x:c>
      <x:c r="E18" s="24" t="n">
        <x:v>310</x:v>
      </x:c>
      <x:c r="F18" s="26" t="n">
        <x:v>5816.056019130619</x:v>
      </x:c>
      <x:c r="G18" s="26" t="n">
        <x:v>180.29773659304917</x:v>
      </x:c>
      <x:c r="H18" s="26" t="n">
        <x:v>12.795323242087361</x:v>
      </x:c>
      <x:c r="I18" s="26" t="n">
        <x:f>F18-G18-H18</x:f>
        <x:v>5622.962959295482</x:v>
      </x:c>
      <x:c r="J18" s="26" t="n">
        <x:v>961</x:v>
      </x:c>
      <x:c r="K18" s="27" t="n">
        <x:v>123.70518510450059</x:v>
      </x:c>
    </x:row>
    <x:row r="19">
      <x:c r="A19" s="22" t="n">
        <x:v>46068</x:v>
      </x:c>
      <x:c r="B19" s="7" t="str">
        <x:v>INV-100018</x:v>
      </x:c>
      <x:c r="C19" s="7" t="str">
        <x:v>Sample Customer F</x:v>
      </x:c>
      <x:c r="D19" s="7" t="str">
        <x:v>FG-002</x:v>
      </x:c>
      <x:c r="E19" s="24" t="n">
        <x:v>215</x:v>
      </x:c>
      <x:c r="F19" s="26" t="n">
        <x:v>4154.727759472502</x:v>
      </x:c>
      <x:c r="G19" s="26" t="n">
        <x:v>128.79656054364756</x:v>
      </x:c>
      <x:c r="H19" s="26" t="n">
        <x:v>9.140401070839506</x:v>
      </x:c>
      <x:c r="I19" s="26" t="n">
        <x:f>F19-G19-H19</x:f>
        <x:v>4016.790797858015</x:v>
      </x:c>
      <x:c r="J19" s="26" t="n">
        <x:v>899.7750000000001</x:v>
      </x:c>
      <x:c r="K19" s="27" t="n">
        <x:v>88.36939755287632</x:v>
      </x:c>
    </x:row>
    <x:row r="20">
      <x:c r="A20" s="22" t="n">
        <x:v>46096</x:v>
      </x:c>
      <x:c r="B20" s="7" t="str">
        <x:v>INV-100019</x:v>
      </x:c>
      <x:c r="C20" s="7" t="str">
        <x:v>Sample Customer B</x:v>
      </x:c>
      <x:c r="D20" s="7" t="str">
        <x:v>FG-002</x:v>
      </x:c>
      <x:c r="E20" s="24" t="n">
        <x:v>235</x:v>
      </x:c>
      <x:c r="F20" s="26" t="n">
        <x:v>4276.67732116395</x:v>
      </x:c>
      <x:c r="G20" s="26" t="n">
        <x:v>132.57699695608247</x:v>
      </x:c>
      <x:c r="H20" s="26" t="n">
        <x:v>9.408690106560691</x:v>
      </x:c>
      <x:c r="I20" s="26" t="n">
        <x:f>F20-G20-H20</x:f>
        <x:v>4134.6916341013075</x:v>
      </x:c>
      <x:c r="J20" s="26" t="n">
        <x:v>728.5</x:v>
      </x:c>
      <x:c r="K20" s="27" t="n">
        <x:v>90.96321595022876</x:v>
      </x:c>
    </x:row>
    <x:row r="21">
      <x:c r="A21" s="22" t="n">
        <x:v>46127</x:v>
      </x:c>
      <x:c r="B21" s="7" t="str">
        <x:v>INV-100020</x:v>
      </x:c>
      <x:c r="C21" s="7" t="str">
        <x:v>Sample Customer D</x:v>
      </x:c>
      <x:c r="D21" s="7" t="str">
        <x:v>FG-002</x:v>
      </x:c>
      <x:c r="E21" s="24" t="n">
        <x:v>250</x:v>
      </x:c>
      <x:c r="F21" s="26" t="n">
        <x:v>4690.367757363402</x:v>
      </x:c>
      <x:c r="G21" s="26" t="n">
        <x:v>145.40140047826546</x:v>
      </x:c>
      <x:c r="H21" s="26" t="n">
        <x:v>10.318809066199485</x:v>
      </x:c>
      <x:c r="I21" s="26" t="n">
        <x:f>F21-G21-H21</x:f>
        <x:v>4534.647547818937</x:v>
      </x:c>
      <x:c r="J21" s="26" t="n">
        <x:v>775</x:v>
      </x:c>
      <x:c r="K21" s="27" t="n">
        <x:v>99.76224605201661</x:v>
      </x:c>
    </x:row>
    <x:row r="22">
      <x:c r="A22" s="22" t="n">
        <x:v>46157</x:v>
      </x:c>
      <x:c r="B22" s="7" t="str">
        <x:v>INV-100021</x:v>
      </x:c>
      <x:c r="C22" s="7" t="str">
        <x:v>Sample Customer F</x:v>
      </x:c>
      <x:c r="D22" s="7" t="str">
        <x:v>FG-002</x:v>
      </x:c>
      <x:c r="E22" s="24" t="n">
        <x:v>270</x:v>
      </x:c>
      <x:c r="F22" s="26" t="n">
        <x:v>5217.5650932910485</x:v>
      </x:c>
      <x:c r="G22" s="26" t="n">
        <x:v>161.74451789202251</x:v>
      </x:c>
      <x:c r="H22" s="26" t="n">
        <x:v>11.478643205240306</x:v>
      </x:c>
      <x:c r="I22" s="26" t="n">
        <x:f>F22-G22-H22</x:f>
        <x:v>5044.341932193785</x:v>
      </x:c>
      <x:c r="J22" s="26" t="n">
        <x:v>1129.95</x:v>
      </x:c>
      <x:c r="K22" s="27" t="n">
        <x:v>110.97552250826327</x:v>
      </x:c>
    </x:row>
    <x:row r="23">
      <x:c r="A23" s="22" t="n">
        <x:v>46188</x:v>
      </x:c>
      <x:c r="B23" s="7" t="str">
        <x:v>INV-100022</x:v>
      </x:c>
      <x:c r="C23" s="7" t="str">
        <x:v>Sample Customer B</x:v>
      </x:c>
      <x:c r="D23" s="7" t="str">
        <x:v>FG-002</x:v>
      </x:c>
      <x:c r="E23" s="24" t="n">
        <x:v>290</x:v>
      </x:c>
      <x:c r="F23" s="26" t="n">
        <x:v>5277.6018005853</x:v>
      </x:c>
      <x:c r="G23" s="26" t="n">
        <x:v>163.6056558181443</x:v>
      </x:c>
      <x:c r="H23" s="26" t="n">
        <x:v>11.610723961287661</x:v>
      </x:c>
      <x:c r="I23" s="26" t="n">
        <x:f>F23-G23-H23</x:f>
        <x:v>5102.385420805868</x:v>
      </x:c>
      <x:c r="J23" s="26" t="n">
        <x:v>899</x:v>
      </x:c>
      <x:c r="K23" s="27" t="n">
        <x:v>112.25247925772909</x:v>
      </x:c>
    </x:row>
    <x:row r="24">
      <x:c r="A24" s="22" t="n">
        <x:v>46218</x:v>
      </x:c>
      <x:c r="B24" s="7" t="str">
        <x:v>INV-100023</x:v>
      </x:c>
      <x:c r="C24" s="7" t="str">
        <x:v>Sample Customer D</x:v>
      </x:c>
      <x:c r="D24" s="7" t="str">
        <x:v>FG-002</x:v>
      </x:c>
      <x:c r="E24" s="24" t="n">
        <x:v>310</x:v>
      </x:c>
      <x:c r="F24" s="26" t="n">
        <x:v>5816.056019130619</x:v>
      </x:c>
      <x:c r="G24" s="26" t="n">
        <x:v>180.29773659304917</x:v>
      </x:c>
      <x:c r="H24" s="26" t="n">
        <x:v>12.795323242087361</x:v>
      </x:c>
      <x:c r="I24" s="26" t="n">
        <x:f>F24-G24-H24</x:f>
        <x:v>5622.962959295482</x:v>
      </x:c>
      <x:c r="J24" s="26" t="n">
        <x:v>961</x:v>
      </x:c>
      <x:c r="K24" s="27" t="n">
        <x:v>123.70518510450059</x:v>
      </x:c>
    </x:row>
    <x:row r="25">
      <x:c r="A25" s="22" t="n">
        <x:v>46249</x:v>
      </x:c>
      <x:c r="B25" s="7" t="str">
        <x:v>INV-100024</x:v>
      </x:c>
      <x:c r="C25" s="7" t="str">
        <x:v>Sample Customer F</x:v>
      </x:c>
      <x:c r="D25" s="7" t="str">
        <x:v>FG-002</x:v>
      </x:c>
      <x:c r="E25" s="24" t="n">
        <x:v>215</x:v>
      </x:c>
      <x:c r="F25" s="26" t="n">
        <x:v>4154.727759472502</x:v>
      </x:c>
      <x:c r="G25" s="26" t="n">
        <x:v>128.79656054364756</x:v>
      </x:c>
      <x:c r="H25" s="26" t="n">
        <x:v>9.140401070839506</x:v>
      </x:c>
      <x:c r="I25" s="26" t="n">
        <x:f>F25-G25-H25</x:f>
        <x:v>4016.790797858015</x:v>
      </x:c>
      <x:c r="J25" s="26" t="n">
        <x:v>899.7750000000001</x:v>
      </x:c>
      <x:c r="K25" s="27" t="n">
        <x:v>88.36939755287632</x:v>
      </x:c>
    </x:row>
    <x:row r="26">
      <x:c r="A26" s="22" t="n">
        <x:v>45915</x:v>
      </x:c>
      <x:c r="B26" s="7" t="str">
        <x:v>INV-100025</x:v>
      </x:c>
      <x:c r="C26" s="7" t="str">
        <x:v>Sample Customer C</x:v>
      </x:c>
      <x:c r="D26" s="7" t="str">
        <x:v>FG-003</x:v>
      </x:c>
      <x:c r="E26" s="24" t="n">
        <x:v>115</x:v>
      </x:c>
      <x:c r="F26" s="26" t="n">
        <x:v>4058.33866639152</x:v>
      </x:c>
      <x:c r="G26" s="26" t="n">
        <x:v>150.15853065648625</x:v>
      </x:c>
      <x:c r="H26" s="26" t="n">
        <x:v>8.928345066061345</x:v>
      </x:c>
      <x:c r="I26" s="26" t="n">
        <x:f>F26-G26-H26</x:f>
        <x:v>3899.2517906689723</x:v>
      </x:c>
      <x:c r="J26" s="26" t="n">
        <x:v>626.75</x:v>
      </x:c>
      <x:c r="K26" s="27" t="n">
        <x:v>101.38054655739327</x:v>
      </x:c>
    </x:row>
    <x:row r="27">
      <x:c r="A27" s="22" t="n">
        <x:v>45945</x:v>
      </x:c>
      <x:c r="B27" s="7" t="str">
        <x:v>INV-100026</x:v>
      </x:c>
      <x:c r="C27" s="7" t="str">
        <x:v>Sample Customer E</x:v>
      </x:c>
      <x:c r="D27" s="7" t="str">
        <x:v>FG-003</x:v>
      </x:c>
      <x:c r="E27" s="24" t="n">
        <x:v>125</x:v>
      </x:c>
      <x:c r="F27" s="26" t="n">
        <x:v>4547.667712227162</x:v>
      </x:c>
      <x:c r="G27" s="26" t="n">
        <x:v>168.26370535240503</x:v>
      </x:c>
      <x:c r="H27" s="26" t="n">
        <x:v>10.004868966899757</x:v>
      </x:c>
      <x:c r="I27" s="26" t="n">
        <x:f>F27-G27-H27</x:f>
        <x:v>4369.399137907857</x:v>
      </x:c>
      <x:c r="J27" s="26" t="n">
        <x:v>803.875</x:v>
      </x:c>
      <x:c r="K27" s="27" t="n">
        <x:v>113.60437758560428</x:v>
      </x:c>
    </x:row>
    <x:row r="28">
      <x:c r="A28" s="22" t="n">
        <x:v>45976</x:v>
      </x:c>
      <x:c r="B28" s="7" t="str">
        <x:v>INV-100027</x:v>
      </x:c>
      <x:c r="C28" s="7" t="str">
        <x:v>Sample Customer A</x:v>
      </x:c>
      <x:c r="D28" s="7" t="str">
        <x:v>FG-003</x:v>
      </x:c>
      <x:c r="E28" s="24" t="n">
        <x:v>135</x:v>
      </x:c>
      <x:c r="F28" s="26" t="n">
        <x:v>5058.825563081496</x:v>
      </x:c>
      <x:c r="G28" s="26" t="n">
        <x:v>187.17654583401537</x:v>
      </x:c>
      <x:c r="H28" s="26" t="n">
        <x:v>11.12941623877929</x:v>
      </x:c>
      <x:c r="I28" s="26" t="n">
        <x:f>F28-G28-H28</x:f>
        <x:v>4860.519601008701</x:v>
      </x:c>
      <x:c r="J28" s="26" t="n">
        <x:v>735.75</x:v>
      </x:c>
      <x:c r="K28" s="27" t="n">
        <x:v>126.37350962622622</x:v>
      </x:c>
    </x:row>
    <x:row r="29">
      <x:c r="A29" s="22" t="n">
        <x:v>46006</x:v>
      </x:c>
      <x:c r="B29" s="7" t="str">
        <x:v>INV-100028</x:v>
      </x:c>
      <x:c r="C29" s="7" t="str">
        <x:v>Sample Customer C</x:v>
      </x:c>
      <x:c r="D29" s="7" t="str">
        <x:v>FG-003</x:v>
      </x:c>
      <x:c r="E29" s="24" t="n">
        <x:v>140</x:v>
      </x:c>
      <x:c r="F29" s="26" t="n">
        <x:v>4940.58620256359</x:v>
      </x:c>
      <x:c r="G29" s="26" t="n">
        <x:v>182.80168949485284</x:v>
      </x:c>
      <x:c r="H29" s="26" t="n">
        <x:v>10.869289645639897</x:v>
      </x:c>
      <x:c r="I29" s="26" t="n">
        <x:f>F29-G29-H29</x:f>
        <x:v>4746.915223423097</x:v>
      </x:c>
      <x:c r="J29" s="26" t="n">
        <x:v>763</x:v>
      </x:c>
      <x:c r="K29" s="27" t="n">
        <x:v>123.41979580900052</x:v>
      </x:c>
    </x:row>
    <x:row r="30">
      <x:c r="A30" s="22" t="n">
        <x:v>46037</x:v>
      </x:c>
      <x:c r="B30" s="7" t="str">
        <x:v>INV-100029</x:v>
      </x:c>
      <x:c r="C30" s="7" t="str">
        <x:v>Sample Customer E</x:v>
      </x:c>
      <x:c r="D30" s="7" t="str">
        <x:v>FG-003</x:v>
      </x:c>
      <x:c r="E30" s="24" t="n">
        <x:v>95</x:v>
      </x:c>
      <x:c r="F30" s="26" t="n">
        <x:v>3456.2274612926435</x:v>
      </x:c>
      <x:c r="G30" s="26" t="n">
        <x:v>127.88041606782782</x:v>
      </x:c>
      <x:c r="H30" s="26" t="n">
        <x:v>33.179783628409375</x:v>
      </x:c>
      <x:c r="I30" s="26" t="n">
        <x:f>F30-G30-H30</x:f>
        <x:v>3295.167261596406</x:v>
      </x:c>
      <x:c r="J30" s="26" t="n">
        <x:v>610.9449999999999</x:v>
      </x:c>
      <x:c r="K30" s="27" t="n">
        <x:v>85.67434880150655</x:v>
      </x:c>
    </x:row>
    <x:row r="31">
      <x:c r="A31" s="22" t="n">
        <x:v>46068</x:v>
      </x:c>
      <x:c r="B31" s="7" t="str">
        <x:v>INV-100030</x:v>
      </x:c>
      <x:c r="C31" s="7" t="str">
        <x:v>Sample Customer A</x:v>
      </x:c>
      <x:c r="D31" s="7" t="str">
        <x:v>FG-003</x:v>
      </x:c>
      <x:c r="E31" s="24" t="n">
        <x:v>105</x:v>
      </x:c>
      <x:c r="F31" s="26" t="n">
        <x:v>3934.642104618941</x:v>
      </x:c>
      <x:c r="G31" s="26" t="n">
        <x:v>145.58175787090084</x:v>
      </x:c>
      <x:c r="H31" s="26" t="n">
        <x:v>8.65621263016167</x:v>
      </x:c>
      <x:c r="I31" s="26" t="n">
        <x:f>F31-G31-H31</x:f>
        <x:v>3780.404134117879</x:v>
      </x:c>
      <x:c r="J31" s="26" t="n">
        <x:v>572.25</x:v>
      </x:c>
      <x:c r="K31" s="27" t="n">
        <x:v>98.29050748706484</x:v>
      </x:c>
    </x:row>
    <x:row r="32">
      <x:c r="A32" s="22" t="n">
        <x:v>46096</x:v>
      </x:c>
      <x:c r="B32" s="7" t="str">
        <x:v>INV-100031</x:v>
      </x:c>
      <x:c r="C32" s="7" t="str">
        <x:v>Sample Customer C</x:v>
      </x:c>
      <x:c r="D32" s="7" t="str">
        <x:v>FG-003</x:v>
      </x:c>
      <x:c r="E32" s="24" t="n">
        <x:v>115</x:v>
      </x:c>
      <x:c r="F32" s="26" t="n">
        <x:v>4058.33866639152</x:v>
      </x:c>
      <x:c r="G32" s="26" t="n">
        <x:v>150.15853065648625</x:v>
      </x:c>
      <x:c r="H32" s="26" t="n">
        <x:v>8.928345066061345</x:v>
      </x:c>
      <x:c r="I32" s="26" t="n">
        <x:f>F32-G32-H32</x:f>
        <x:v>3899.2517906689723</x:v>
      </x:c>
      <x:c r="J32" s="26" t="n">
        <x:v>626.75</x:v>
      </x:c>
      <x:c r="K32" s="27" t="n">
        <x:v>101.38054655739327</x:v>
      </x:c>
    </x:row>
    <x:row r="33">
      <x:c r="A33" s="22" t="n">
        <x:v>46127</x:v>
      </x:c>
      <x:c r="B33" s="7" t="str">
        <x:v>INV-100032</x:v>
      </x:c>
      <x:c r="C33" s="7" t="str">
        <x:v>Sample Customer E</x:v>
      </x:c>
      <x:c r="D33" s="7" t="str">
        <x:v>FG-003</x:v>
      </x:c>
      <x:c r="E33" s="24" t="n">
        <x:v>125</x:v>
      </x:c>
      <x:c r="F33" s="26" t="n">
        <x:v>4547.667712227162</x:v>
      </x:c>
      <x:c r="G33" s="26" t="n">
        <x:v>168.26370535240503</x:v>
      </x:c>
      <x:c r="H33" s="26" t="n">
        <x:v>10.004868966899757</x:v>
      </x:c>
      <x:c r="I33" s="26" t="n">
        <x:f>F33-G33-H33</x:f>
        <x:v>4369.399137907857</x:v>
      </x:c>
      <x:c r="J33" s="26" t="n">
        <x:v>803.875</x:v>
      </x:c>
      <x:c r="K33" s="27" t="n">
        <x:v>113.60437758560428</x:v>
      </x:c>
    </x:row>
    <x:row r="34">
      <x:c r="A34" s="22" t="n">
        <x:v>46157</x:v>
      </x:c>
      <x:c r="B34" s="7" t="str">
        <x:v>INV-100033</x:v>
      </x:c>
      <x:c r="C34" s="7" t="str">
        <x:v>Sample Customer A</x:v>
      </x:c>
      <x:c r="D34" s="7" t="str">
        <x:v>FG-003</x:v>
      </x:c>
      <x:c r="E34" s="24" t="n">
        <x:v>135</x:v>
      </x:c>
      <x:c r="F34" s="26" t="n">
        <x:v>5058.825563081496</x:v>
      </x:c>
      <x:c r="G34" s="26" t="n">
        <x:v>187.17654583401537</x:v>
      </x:c>
      <x:c r="H34" s="26" t="n">
        <x:v>11.12941623877929</x:v>
      </x:c>
      <x:c r="I34" s="26" t="n">
        <x:f>F34-G34-H34</x:f>
        <x:v>4860.519601008701</x:v>
      </x:c>
      <x:c r="J34" s="26" t="n">
        <x:v>735.75</x:v>
      </x:c>
      <x:c r="K34" s="27" t="n">
        <x:v>126.37350962622622</x:v>
      </x:c>
    </x:row>
    <x:row r="35">
      <x:c r="A35" s="22" t="n">
        <x:v>46188</x:v>
      </x:c>
      <x:c r="B35" s="7" t="str">
        <x:v>INV-100034</x:v>
      </x:c>
      <x:c r="C35" s="7" t="str">
        <x:v>Sample Customer C</x:v>
      </x:c>
      <x:c r="D35" s="7" t="str">
        <x:v>FG-003</x:v>
      </x:c>
      <x:c r="E35" s="24" t="n">
        <x:v>140</x:v>
      </x:c>
      <x:c r="F35" s="26" t="n">
        <x:v>4940.58620256359</x:v>
      </x:c>
      <x:c r="G35" s="26" t="n">
        <x:v>182.80168949485284</x:v>
      </x:c>
      <x:c r="H35" s="26" t="n">
        <x:v>10.869289645639897</x:v>
      </x:c>
      <x:c r="I35" s="26" t="n">
        <x:f>F35-G35-H35</x:f>
        <x:v>4746.915223423097</x:v>
      </x:c>
      <x:c r="J35" s="26" t="n">
        <x:v>763</x:v>
      </x:c>
      <x:c r="K35" s="27" t="n">
        <x:v>123.41979580900052</x:v>
      </x:c>
    </x:row>
    <x:row r="36">
      <x:c r="A36" s="22" t="n">
        <x:v>46218</x:v>
      </x:c>
      <x:c r="B36" s="7" t="str">
        <x:v>INV-100035</x:v>
      </x:c>
      <x:c r="C36" s="7" t="str">
        <x:v>Sample Customer E</x:v>
      </x:c>
      <x:c r="D36" s="7" t="str">
        <x:v>FG-003</x:v>
      </x:c>
      <x:c r="E36" s="24" t="n">
        <x:v>95</x:v>
      </x:c>
      <x:c r="F36" s="26" t="n">
        <x:v>3456.2274612926435</x:v>
      </x:c>
      <x:c r="G36" s="26" t="n">
        <x:v>127.88041606782782</x:v>
      </x:c>
      <x:c r="H36" s="26" t="n">
        <x:v>7.603700414843816</x:v>
      </x:c>
      <x:c r="I36" s="26" t="n">
        <x:f>F36-G36-H36</x:f>
        <x:v>3320.743344809972</x:v>
      </x:c>
      <x:c r="J36" s="26" t="n">
        <x:v>610.9449999999999</x:v>
      </x:c>
      <x:c r="K36" s="27" t="n">
        <x:v>86.33932696505927</x:v>
      </x:c>
    </x:row>
    <x:row r="37">
      <x:c r="A37" s="22" t="n">
        <x:v>46249</x:v>
      </x:c>
      <x:c r="B37" s="7" t="str">
        <x:v>INV-100036</x:v>
      </x:c>
      <x:c r="C37" s="7" t="str">
        <x:v>Sample Customer A</x:v>
      </x:c>
      <x:c r="D37" s="7" t="str">
        <x:v>FG-003</x:v>
      </x:c>
      <x:c r="E37" s="24" t="n">
        <x:v>105</x:v>
      </x:c>
      <x:c r="F37" s="26" t="n">
        <x:v>3934.642104618941</x:v>
      </x:c>
      <x:c r="G37" s="26" t="n">
        <x:v>145.58175787090084</x:v>
      </x:c>
      <x:c r="H37" s="26" t="n">
        <x:v>8.65621263016167</x:v>
      </x:c>
      <x:c r="I37" s="26" t="n">
        <x:f>F37-G37-H37</x:f>
        <x:v>3780.404134117879</x:v>
      </x:c>
      <x:c r="J37" s="26" t="n">
        <x:v>572.25</x:v>
      </x:c>
      <x:c r="K37" s="27" t="n">
        <x:v>98.29050748706484</x:v>
      </x:c>
    </x:row>
    <x:row r="38">
      <x:c r="A38" s="22" t="n">
        <x:v>45915</x:v>
      </x:c>
      <x:c r="B38" s="7" t="str">
        <x:v>INV-100037</x:v>
      </x:c>
      <x:c r="C38" s="7" t="str">
        <x:v>Sample Customer D</x:v>
      </x:c>
      <x:c r="D38" s="7" t="str">
        <x:v>FG-004</x:v>
      </x:c>
      <x:c r="E38" s="24" t="n">
        <x:v>500</x:v>
      </x:c>
      <x:c r="F38" s="26" t="n">
        <x:v>14922.17919214702</x:v>
      </x:c>
      <x:c r="G38" s="26" t="n">
        <x:v>641.6537052623219</x:v>
      </x:c>
      <x:c r="H38" s="26" t="n">
        <x:v>32.828794222723445</x:v>
      </x:c>
      <x:c r="I38" s="26" t="n">
        <x:f>F38-G38-H38</x:f>
        <x:v>14247.696692661973</x:v>
      </x:c>
      <x:c r="J38" s="26" t="n">
        <x:v>2400</x:v>
      </x:c>
      <x:c r="K38" s="27" t="n">
        <x:v>256.4585404679155</x:v>
      </x:c>
    </x:row>
    <x:row r="39">
      <x:c r="A39" s="22" t="n">
        <x:v>45945</x:v>
      </x:c>
      <x:c r="B39" s="7" t="str">
        <x:v>INV-100038</x:v>
      </x:c>
      <x:c r="C39" s="7" t="str">
        <x:v>Sample Customer F</x:v>
      </x:c>
      <x:c r="D39" s="7" t="str">
        <x:v>FG-004</x:v>
      </x:c>
      <x:c r="E39" s="24" t="n">
        <x:v>535</x:v>
      </x:c>
      <x:c r="F39" s="26" t="n">
        <x:v>16460.548181028156</x:v>
      </x:c>
      <x:c r="G39" s="26" t="n">
        <x:v>707.8035717842108</x:v>
      </x:c>
      <x:c r="H39" s="26" t="n">
        <x:v>36.21320599826195</x:v>
      </x:c>
      <x:c r="I39" s="26" t="n">
        <x:f>F39-G39-H39</x:f>
        <x:v>15716.531403245684</x:v>
      </x:c>
      <x:c r="J39" s="26" t="n">
        <x:v>3466.8</x:v>
      </x:c>
      <x:c r="K39" s="27" t="n">
        <x:v>282.8975652584223</x:v>
      </x:c>
    </x:row>
    <x:row r="40">
      <x:c r="A40" s="22" t="n">
        <x:v>45976</x:v>
      </x:c>
      <x:c r="B40" s="7" t="str">
        <x:v>INV-100039</x:v>
      </x:c>
      <x:c r="C40" s="7" t="str">
        <x:v>Sample Customer B</x:v>
      </x:c>
      <x:c r="D40" s="7" t="str">
        <x:v>FG-004</x:v>
      </x:c>
      <x:c r="E40" s="24" t="n">
        <x:v>570</x:v>
      </x:c>
      <x:c r="F40" s="26" t="n">
        <x:v>18063.5286674423</x:v>
      </x:c>
      <x:c r="G40" s="26" t="n">
        <x:v>776.7317327000189</x:v>
      </x:c>
      <x:c r="H40" s="26" t="n">
        <x:v>39.739763068373065</x:v>
      </x:c>
      <x:c r="I40" s="26" t="n">
        <x:f>F40-G40-H40</x:f>
        <x:v>17247.057171673907</x:v>
      </x:c>
      <x:c r="J40" s="26" t="n">
        <x:v>2736</x:v>
      </x:c>
      <x:c r="K40" s="27" t="n">
        <x:v>310.4470290901303</x:v>
      </x:c>
    </x:row>
    <x:row r="41">
      <x:c r="A41" s="22" t="n">
        <x:v>46006</x:v>
      </x:c>
      <x:c r="B41" s="7" t="str">
        <x:v>INV-100040</x:v>
      </x:c>
      <x:c r="C41" s="7" t="str">
        <x:v>Sample Customer D</x:v>
      </x:c>
      <x:c r="D41" s="7" t="str">
        <x:v>FG-004</x:v>
      </x:c>
      <x:c r="E41" s="24" t="n">
        <x:v>390</x:v>
      </x:c>
      <x:c r="F41" s="26" t="n">
        <x:v>11639.299769874675</x:v>
      </x:c>
      <x:c r="G41" s="26" t="n">
        <x:v>500.48989010461105</x:v>
      </x:c>
      <x:c r="H41" s="26" t="n">
        <x:v>25.606459493724287</x:v>
      </x:c>
      <x:c r="I41" s="26" t="n">
        <x:f>F41-G41-H41</x:f>
        <x:v>11113.203420276339</x:v>
      </x:c>
      <x:c r="J41" s="26" t="n">
        <x:v>1872</x:v>
      </x:c>
      <x:c r="K41" s="27" t="n">
        <x:v>200.0376615649741</x:v>
      </x:c>
    </x:row>
    <x:row r="42">
      <x:c r="A42" s="22" t="n">
        <x:v>46037</x:v>
      </x:c>
      <x:c r="B42" s="7" t="str">
        <x:v>INV-100041</x:v>
      </x:c>
      <x:c r="C42" s="7" t="str">
        <x:v>Sample Customer F</x:v>
      </x:c>
      <x:c r="D42" s="7" t="str">
        <x:v>FG-004</x:v>
      </x:c>
      <x:c r="E42" s="24" t="n">
        <x:v>425</x:v>
      </x:c>
      <x:c r="F42" s="26" t="n">
        <x:v>13076.136405489657</x:v>
      </x:c>
      <x:c r="G42" s="26" t="n">
        <x:v>562.2738654360553</x:v>
      </x:c>
      <x:c r="H42" s="26" t="n">
        <x:v>28.767500092077245</x:v>
      </x:c>
      <x:c r="I42" s="26" t="n">
        <x:f>F42-G42-H42</x:f>
        <x:v>12485.095039961525</x:v>
      </x:c>
      <x:c r="J42" s="26" t="n">
        <x:v>2754</x:v>
      </x:c>
      <x:c r="K42" s="27" t="n">
        <x:v>224.73171071930744</x:v>
      </x:c>
    </x:row>
    <x:row r="43">
      <x:c r="A43" s="22" t="n">
        <x:v>46068</x:v>
      </x:c>
      <x:c r="B43" s="7" t="str">
        <x:v>INV-100042</x:v>
      </x:c>
      <x:c r="C43" s="7" t="str">
        <x:v>Sample Customer B</x:v>
      </x:c>
      <x:c r="D43" s="7" t="str">
        <x:v>FG-004</x:v>
      </x:c>
      <x:c r="E43" s="24" t="n">
        <x:v>460</x:v>
      </x:c>
      <x:c r="F43" s="26" t="n">
        <x:v>14577.584538637646</x:v>
      </x:c>
      <x:c r="G43" s="26" t="n">
        <x:v>626.8361351614188</x:v>
      </x:c>
      <x:c r="H43" s="26" t="n">
        <x:v>32.070685985002825</x:v>
      </x:c>
      <x:c r="I43" s="26" t="n">
        <x:f>F43-G43-H43</x:f>
        <x:v>13918.677717491224</x:v>
      </x:c>
      <x:c r="J43" s="26" t="n">
        <x:v>2208</x:v>
      </x:c>
      <x:c r="K43" s="27" t="n">
        <x:v>250.536198914842</x:v>
      </x:c>
    </x:row>
    <x:row r="44">
      <x:c r="A44" s="22" t="n">
        <x:v>46096</x:v>
      </x:c>
      <x:c r="B44" s="7" t="str">
        <x:v>INV-100043</x:v>
      </x:c>
      <x:c r="C44" s="7" t="str">
        <x:v>Sample Customer D</x:v>
      </x:c>
      <x:c r="D44" s="7" t="str">
        <x:v>FG-004</x:v>
      </x:c>
      <x:c r="E44" s="24" t="n">
        <x:v>500</x:v>
      </x:c>
      <x:c r="F44" s="26" t="n">
        <x:v>14922.17919214702</x:v>
      </x:c>
      <x:c r="G44" s="26" t="n">
        <x:v>641.6537052623219</x:v>
      </x:c>
      <x:c r="H44" s="26" t="n">
        <x:v>143.25292024461137</x:v>
      </x:c>
      <x:c r="I44" s="26" t="n">
        <x:f>F44-G44-H44</x:f>
        <x:v>14137.272566640086</x:v>
      </x:c>
      <x:c r="J44" s="26" t="n">
        <x:v>2400</x:v>
      </x:c>
      <x:c r="K44" s="27" t="n">
        <x:v>254.47090619952152</x:v>
      </x:c>
    </x:row>
    <x:row r="45">
      <x:c r="A45" s="22" t="n">
        <x:v>46127</x:v>
      </x:c>
      <x:c r="B45" s="7" t="str">
        <x:v>INV-100044</x:v>
      </x:c>
      <x:c r="C45" s="7" t="str">
        <x:v>Sample Customer F</x:v>
      </x:c>
      <x:c r="D45" s="7" t="str">
        <x:v>FG-004</x:v>
      </x:c>
      <x:c r="E45" s="24" t="n">
        <x:v>535</x:v>
      </x:c>
      <x:c r="F45" s="26" t="n">
        <x:v>16460.548181028156</x:v>
      </x:c>
      <x:c r="G45" s="26" t="n">
        <x:v>707.8035717842108</x:v>
      </x:c>
      <x:c r="H45" s="26" t="n">
        <x:v>36.21320599826195</x:v>
      </x:c>
      <x:c r="I45" s="26" t="n">
        <x:f>F45-G45-H45</x:f>
        <x:v>15716.531403245684</x:v>
      </x:c>
      <x:c r="J45" s="26" t="n">
        <x:v>3466.8</x:v>
      </x:c>
      <x:c r="K45" s="27" t="n">
        <x:v>282.8975652584223</x:v>
      </x:c>
    </x:row>
    <x:row r="46">
      <x:c r="A46" s="22" t="n">
        <x:v>46157</x:v>
      </x:c>
      <x:c r="B46" s="7" t="str">
        <x:v>INV-100045</x:v>
      </x:c>
      <x:c r="C46" s="7" t="str">
        <x:v>Sample Customer B</x:v>
      </x:c>
      <x:c r="D46" s="7" t="str">
        <x:v>FG-004</x:v>
      </x:c>
      <x:c r="E46" s="24" t="n">
        <x:v>570</x:v>
      </x:c>
      <x:c r="F46" s="26" t="n">
        <x:v>18063.5286674423</x:v>
      </x:c>
      <x:c r="G46" s="26" t="n">
        <x:v>776.7317327000189</x:v>
      </x:c>
      <x:c r="H46" s="26" t="n">
        <x:v>39.739763068373065</x:v>
      </x:c>
      <x:c r="I46" s="26" t="n">
        <x:f>F46-G46-H46</x:f>
        <x:v>17247.057171673907</x:v>
      </x:c>
      <x:c r="J46" s="26" t="n">
        <x:v>2736</x:v>
      </x:c>
      <x:c r="K46" s="27" t="n">
        <x:v>310.4470290901303</x:v>
      </x:c>
    </x:row>
    <x:row r="47">
      <x:c r="A47" s="22" t="n">
        <x:v>46188</x:v>
      </x:c>
      <x:c r="B47" s="7" t="str">
        <x:v>INV-100046</x:v>
      </x:c>
      <x:c r="C47" s="7" t="str">
        <x:v>Sample Customer D</x:v>
      </x:c>
      <x:c r="D47" s="7" t="str">
        <x:v>FG-004</x:v>
      </x:c>
      <x:c r="E47" s="24" t="n">
        <x:v>390</x:v>
      </x:c>
      <x:c r="F47" s="26" t="n">
        <x:v>11639.299769874675</x:v>
      </x:c>
      <x:c r="G47" s="26" t="n">
        <x:v>500.48989010461105</x:v>
      </x:c>
      <x:c r="H47" s="26" t="n">
        <x:v>25.606459493724287</x:v>
      </x:c>
      <x:c r="I47" s="26" t="n">
        <x:f>F47-G47-H47</x:f>
        <x:v>11113.203420276339</x:v>
      </x:c>
      <x:c r="J47" s="26" t="n">
        <x:v>1872</x:v>
      </x:c>
      <x:c r="K47" s="27" t="n">
        <x:v>200.0376615649741</x:v>
      </x:c>
    </x:row>
    <x:row r="48">
      <x:c r="A48" s="22" t="n">
        <x:v>46218</x:v>
      </x:c>
      <x:c r="B48" s="7" t="str">
        <x:v>INV-100047</x:v>
      </x:c>
      <x:c r="C48" s="7" t="str">
        <x:v>Sample Customer F</x:v>
      </x:c>
      <x:c r="D48" s="7" t="str">
        <x:v>FG-004</x:v>
      </x:c>
      <x:c r="E48" s="24" t="n">
        <x:v>425</x:v>
      </x:c>
      <x:c r="F48" s="26" t="n">
        <x:v>13076.136405489657</x:v>
      </x:c>
      <x:c r="G48" s="26" t="n">
        <x:v>562.2738654360553</x:v>
      </x:c>
      <x:c r="H48" s="26" t="n">
        <x:v>28.767500092077245</x:v>
      </x:c>
      <x:c r="I48" s="26" t="n">
        <x:f>F48-G48-H48</x:f>
        <x:v>12485.095039961525</x:v>
      </x:c>
      <x:c r="J48" s="26" t="n">
        <x:v>2754</x:v>
      </x:c>
      <x:c r="K48" s="27" t="n">
        <x:v>224.73171071930744</x:v>
      </x:c>
    </x:row>
    <x:row r="49">
      <x:c r="A49" s="22" t="n">
        <x:v>46249</x:v>
      </x:c>
      <x:c r="B49" s="7" t="str">
        <x:v>INV-100048</x:v>
      </x:c>
      <x:c r="C49" s="7" t="str">
        <x:v>Sample Customer B</x:v>
      </x:c>
      <x:c r="D49" s="7" t="str">
        <x:v>FG-004</x:v>
      </x:c>
      <x:c r="E49" s="24" t="n">
        <x:v>460</x:v>
      </x:c>
      <x:c r="F49" s="26" t="n">
        <x:v>14577.584538637646</x:v>
      </x:c>
      <x:c r="G49" s="26" t="n">
        <x:v>626.8361351614188</x:v>
      </x:c>
      <x:c r="H49" s="26" t="n">
        <x:v>32.070685985002825</x:v>
      </x:c>
      <x:c r="I49" s="26" t="n">
        <x:f>F49-G49-H49</x:f>
        <x:v>13918.677717491224</x:v>
      </x:c>
      <x:c r="J49" s="26" t="n">
        <x:v>2208</x:v>
      </x:c>
      <x:c r="K49" s="27" t="n">
        <x:v>250.536198914842</x:v>
      </x:c>
    </x:row>
    <x:row r="50">
      <x:c r="A50" s="22" t="n">
        <x:v>45915</x:v>
      </x:c>
      <x:c r="B50" s="7" t="str">
        <x:v>INV-100049</x:v>
      </x:c>
      <x:c r="C50" s="7" t="str">
        <x:v>Sample Customer E</x:v>
      </x:c>
      <x:c r="D50" s="7" t="str">
        <x:v>FG-005</x:v>
      </x:c>
      <x:c r="E50" s="24" t="n">
        <x:v>375</x:v>
      </x:c>
      <x:c r="F50" s="26" t="n">
        <x:v>9908.416707323946</x:v>
      </x:c>
      <x:c r="G50" s="26" t="n">
        <x:v>247.71041768309865</x:v>
      </x:c>
      <x:c r="H50" s="26" t="n">
        <x:v>21.798516756112683</x:v>
      </x:c>
      <x:c r="I50" s="26" t="n">
        <x:f>F50-G50-H50</x:f>
        <x:v>9638.907772884735</x:v>
      </x:c>
      <x:c r="J50" s="26" t="n">
        <x:v>2500.125</x:v>
      </x:c>
      <x:c r="K50" s="27" t="n">
        <x:v>212.05597100346415</x:v>
      </x:c>
    </x:row>
    <x:row r="51">
      <x:c r="A51" s="22" t="n">
        <x:v>45945</x:v>
      </x:c>
      <x:c r="B51" s="7" t="str">
        <x:v>INV-100050</x:v>
      </x:c>
      <x:c r="C51" s="7" t="str">
        <x:v>Sample Customer A</x:v>
      </x:c>
      <x:c r="D51" s="7" t="str">
        <x:v>FG-005</x:v>
      </x:c>
      <x:c r="E51" s="24" t="n">
        <x:v>400</x:v>
      </x:c>
      <x:c r="F51" s="26" t="n">
        <x:v>10895.853423861385</x:v>
      </x:c>
      <x:c r="G51" s="26" t="n">
        <x:v>272.39633559653464</x:v>
      </x:c>
      <x:c r="H51" s="26" t="n">
        <x:v>23.97087753249505</x:v>
      </x:c>
      <x:c r="I51" s="26" t="n">
        <x:f>F51-G51-H51</x:f>
        <x:v>10599.486210732355</x:v>
      </x:c>
      <x:c r="J51" s="26" t="n">
        <x:v>2260</x:v>
      </x:c>
      <x:c r="K51" s="27" t="n">
        <x:v>233.1886966361118</x:v>
      </x:c>
    </x:row>
    <x:row r="52">
      <x:c r="A52" s="22" t="n">
        <x:v>45976</x:v>
      </x:c>
      <x:c r="B52" s="7" t="str">
        <x:v>INV-100051</x:v>
      </x:c>
      <x:c r="C52" s="7" t="str">
        <x:v>Sample Customer C</x:v>
      </x:c>
      <x:c r="D52" s="7" t="str">
        <x:v>FG-005</x:v>
      </x:c>
      <x:c r="E52" s="24" t="n">
        <x:v>275</x:v>
      </x:c>
      <x:c r="F52" s="26" t="n">
        <x:v>7715.626205771843</x:v>
      </x:c>
      <x:c r="G52" s="26" t="n">
        <x:v>192.8906551442961</x:v>
      </x:c>
      <x:c r="H52" s="26" t="n">
        <x:v>16.974377652698056</x:v>
      </x:c>
      <x:c r="I52" s="26" t="n">
        <x:f>F52-G52-H52</x:f>
        <x:v>7505.761172974849</x:v>
      </x:c>
      <x:c r="J52" s="26" t="n">
        <x:v>1553.75</x:v>
      </x:c>
      <x:c r="K52" s="27" t="n">
        <x:v>165.12674580544666</x:v>
      </x:c>
    </x:row>
    <x:row r="53">
      <x:c r="A53" s="22" t="n">
        <x:v>46006</x:v>
      </x:c>
      <x:c r="B53" s="7" t="str">
        <x:v>INV-100052</x:v>
      </x:c>
      <x:c r="C53" s="7" t="str">
        <x:v>Sample Customer E</x:v>
      </x:c>
      <x:c r="D53" s="7" t="str">
        <x:v>FG-005</x:v>
      </x:c>
      <x:c r="E53" s="24" t="n">
        <x:v>300</x:v>
      </x:c>
      <x:c r="F53" s="26" t="n">
        <x:v>7926.733365859158</x:v>
      </x:c>
      <x:c r="G53" s="26" t="n">
        <x:v>198.16833414647897</x:v>
      </x:c>
      <x:c r="H53" s="26" t="n">
        <x:v>17.438813404890148</x:v>
      </x:c>
      <x:c r="I53" s="26" t="n">
        <x:f>F53-G53-H53</x:f>
        <x:v>7711.126218307789</x:v>
      </x:c>
      <x:c r="J53" s="26" t="n">
        <x:v>2000.1</x:v>
      </x:c>
      <x:c r="K53" s="27" t="n">
        <x:v>169.64477680277133</x:v>
      </x:c>
    </x:row>
    <x:row r="54">
      <x:c r="A54" s="22" t="n">
        <x:v>46037</x:v>
      </x:c>
      <x:c r="B54" s="7" t="str">
        <x:v>INV-100053</x:v>
      </x:c>
      <x:c r="C54" s="7" t="str">
        <x:v>Sample Customer A</x:v>
      </x:c>
      <x:c r="D54" s="7" t="str">
        <x:v>FG-005</x:v>
      </x:c>
      <x:c r="E54" s="24" t="n">
        <x:v>325</x:v>
      </x:c>
      <x:c r="F54" s="26" t="n">
        <x:v>8852.880906887376</x:v>
      </x:c>
      <x:c r="G54" s="26" t="n">
        <x:v>221.3220226721844</x:v>
      </x:c>
      <x:c r="H54" s="26" t="n">
        <x:v>19.476337995152228</x:v>
      </x:c>
      <x:c r="I54" s="26" t="n">
        <x:f>F54-G54-H54</x:f>
        <x:v>8612.08254622004</x:v>
      </x:c>
      <x:c r="J54" s="26" t="n">
        <x:v>1836.2500000000002</x:v>
      </x:c>
      <x:c r="K54" s="27" t="n">
        <x:v>189.46581601684085</x:v>
      </x:c>
    </x:row>
    <x:row r="55">
      <x:c r="A55" s="22" t="n">
        <x:v>46068</x:v>
      </x:c>
      <x:c r="B55" s="7" t="str">
        <x:v>INV-100054</x:v>
      </x:c>
      <x:c r="C55" s="7" t="str">
        <x:v>Sample Customer C</x:v>
      </x:c>
      <x:c r="D55" s="7" t="str">
        <x:v>FG-005</x:v>
      </x:c>
      <x:c r="E55" s="24" t="n">
        <x:v>350</x:v>
      </x:c>
      <x:c r="F55" s="26" t="n">
        <x:v>9819.887898255074</x:v>
      </x:c>
      <x:c r="G55" s="26" t="n">
        <x:v>245.49719745637685</x:v>
      </x:c>
      <x:c r="H55" s="26" t="n">
        <x:v>21.603753376161166</x:v>
      </x:c>
      <x:c r="I55" s="26" t="n">
        <x:f>F55-G55-H55</x:f>
        <x:v>9552.786947422535</x:v>
      </x:c>
      <x:c r="J55" s="26" t="n">
        <x:v>1977.5000000000002</x:v>
      </x:c>
      <x:c r="K55" s="27" t="n">
        <x:v>210.16131284329578</x:v>
      </x:c>
    </x:row>
    <x:row r="56">
      <x:c r="A56" s="22" t="n">
        <x:v>46096</x:v>
      </x:c>
      <x:c r="B56" s="7" t="str">
        <x:v>INV-100055</x:v>
      </x:c>
      <x:c r="C56" s="7" t="str">
        <x:v>Sample Customer E</x:v>
      </x:c>
      <x:c r="D56" s="7" t="str">
        <x:v>FG-005</x:v>
      </x:c>
      <x:c r="E56" s="24" t="n">
        <x:v>375</x:v>
      </x:c>
      <x:c r="F56" s="26" t="n">
        <x:v>9908.416707323946</x:v>
      </x:c>
      <x:c r="G56" s="26" t="n">
        <x:v>247.71041768309865</x:v>
      </x:c>
      <x:c r="H56" s="26" t="n">
        <x:v>21.798516756112683</x:v>
      </x:c>
      <x:c r="I56" s="26" t="n">
        <x:f>F56-G56-H56</x:f>
        <x:v>9638.907772884735</x:v>
      </x:c>
      <x:c r="J56" s="26" t="n">
        <x:v>2500.125</x:v>
      </x:c>
      <x:c r="K56" s="27" t="n">
        <x:v>212.05597100346415</x:v>
      </x:c>
    </x:row>
    <x:row r="57">
      <x:c r="A57" s="22" t="n">
        <x:v>46127</x:v>
      </x:c>
      <x:c r="B57" s="7" t="str">
        <x:v>INV-100056</x:v>
      </x:c>
      <x:c r="C57" s="7" t="str">
        <x:v>Sample Customer A</x:v>
      </x:c>
      <x:c r="D57" s="7" t="str">
        <x:v>FG-005</x:v>
      </x:c>
      <x:c r="E57" s="24" t="n">
        <x:v>400</x:v>
      </x:c>
      <x:c r="F57" s="26" t="n">
        <x:v>10895.853423861385</x:v>
      </x:c>
      <x:c r="G57" s="26" t="n">
        <x:v>272.39633559653464</x:v>
      </x:c>
      <x:c r="H57" s="26" t="n">
        <x:v>23.97087753249505</x:v>
      </x:c>
      <x:c r="I57" s="26" t="n">
        <x:f>F57-G57-H57</x:f>
        <x:v>10599.486210732355</x:v>
      </x:c>
      <x:c r="J57" s="26" t="n">
        <x:v>2260</x:v>
      </x:c>
      <x:c r="K57" s="27" t="n">
        <x:v>233.1886966361118</x:v>
      </x:c>
    </x:row>
    <x:row r="58">
      <x:c r="A58" s="22" t="n">
        <x:v>46157</x:v>
      </x:c>
      <x:c r="B58" s="7" t="str">
        <x:v>INV-100057</x:v>
      </x:c>
      <x:c r="C58" s="7" t="str">
        <x:v>Sample Customer C</x:v>
      </x:c>
      <x:c r="D58" s="7" t="str">
        <x:v>FG-005</x:v>
      </x:c>
      <x:c r="E58" s="24" t="n">
        <x:v>275</x:v>
      </x:c>
      <x:c r="F58" s="26" t="n">
        <x:v>7715.626205771843</x:v>
      </x:c>
      <x:c r="G58" s="26" t="n">
        <x:v>192.8906551442961</x:v>
      </x:c>
      <x:c r="H58" s="26" t="n">
        <x:v>74.0700115754097</x:v>
      </x:c>
      <x:c r="I58" s="26" t="n">
        <x:f>F58-G58-H58</x:f>
        <x:v>7448.665539052137</x:v>
      </x:c>
      <x:c r="J58" s="26" t="n">
        <x:v>1553.75</x:v>
      </x:c>
      <x:c r="K58" s="27" t="n">
        <x:v>163.870641859147</x:v>
      </x:c>
    </x:row>
    <x:row r="59">
      <x:c r="A59" s="22" t="n">
        <x:v>46188</x:v>
      </x:c>
      <x:c r="B59" s="7" t="str">
        <x:v>INV-100058</x:v>
      </x:c>
      <x:c r="C59" s="7" t="str">
        <x:v>Sample Customer E</x:v>
      </x:c>
      <x:c r="D59" s="7" t="str">
        <x:v>FG-005</x:v>
      </x:c>
      <x:c r="E59" s="24" t="n">
        <x:v>300</x:v>
      </x:c>
      <x:c r="F59" s="26" t="n">
        <x:v>7926.733365859158</x:v>
      </x:c>
      <x:c r="G59" s="26" t="n">
        <x:v>198.16833414647897</x:v>
      </x:c>
      <x:c r="H59" s="26" t="n">
        <x:v>17.438813404890148</x:v>
      </x:c>
      <x:c r="I59" s="26" t="n">
        <x:f>F59-G59-H59</x:f>
        <x:v>7711.126218307789</x:v>
      </x:c>
      <x:c r="J59" s="26" t="n">
        <x:v>2000.1</x:v>
      </x:c>
      <x:c r="K59" s="27" t="n">
        <x:v>169.64477680277133</x:v>
      </x:c>
    </x:row>
    <x:row r="60">
      <x:c r="A60" s="22" t="n">
        <x:v>46218</x:v>
      </x:c>
      <x:c r="B60" s="7" t="str">
        <x:v>INV-100059</x:v>
      </x:c>
      <x:c r="C60" s="7" t="str">
        <x:v>Sample Customer A</x:v>
      </x:c>
      <x:c r="D60" s="7" t="str">
        <x:v>FG-005</x:v>
      </x:c>
      <x:c r="E60" s="24" t="n">
        <x:v>325</x:v>
      </x:c>
      <x:c r="F60" s="26" t="n">
        <x:v>8852.880906887376</x:v>
      </x:c>
      <x:c r="G60" s="26" t="n">
        <x:v>221.3220226721844</x:v>
      </x:c>
      <x:c r="H60" s="26" t="n">
        <x:v>19.476337995152228</x:v>
      </x:c>
      <x:c r="I60" s="26" t="n">
        <x:f>F60-G60-H60</x:f>
        <x:v>8612.08254622004</x:v>
      </x:c>
      <x:c r="J60" s="26" t="n">
        <x:v>1836.2500000000002</x:v>
      </x:c>
      <x:c r="K60" s="27" t="n">
        <x:v>189.46581601684085</x:v>
      </x:c>
    </x:row>
    <x:row r="61">
      <x:c r="A61" s="22" t="n">
        <x:v>46249</x:v>
      </x:c>
      <x:c r="B61" s="7" t="str">
        <x:v>INV-100060</x:v>
      </x:c>
      <x:c r="C61" s="7" t="str">
        <x:v>Sample Customer C</x:v>
      </x:c>
      <x:c r="D61" s="7" t="str">
        <x:v>FG-005</x:v>
      </x:c>
      <x:c r="E61" s="24" t="n">
        <x:v>350</x:v>
      </x:c>
      <x:c r="F61" s="26" t="n">
        <x:v>9819.887898255074</x:v>
      </x:c>
      <x:c r="G61" s="26" t="n">
        <x:v>245.49719745637685</x:v>
      </x:c>
      <x:c r="H61" s="26" t="n">
        <x:v>21.603753376161166</x:v>
      </x:c>
      <x:c r="I61" s="26" t="n">
        <x:f>F61-G61-H61</x:f>
        <x:v>9552.786947422535</x:v>
      </x:c>
      <x:c r="J61" s="26" t="n">
        <x:v>1977.5000000000002</x:v>
      </x:c>
      <x:c r="K61" s="27" t="n">
        <x:v>210.16131284329578</x:v>
      </x:c>
    </x:row>
    <x:row r="62">
      <x:c r="A62" s="22" t="n">
        <x:v>45915</x:v>
      </x:c>
      <x:c r="B62" s="7" t="str">
        <x:v>INV-100061</x:v>
      </x:c>
      <x:c r="C62" s="7" t="str">
        <x:v>Sample Customer F</x:v>
      </x:c>
      <x:c r="D62" s="7" t="str">
        <x:v>FG-006</x:v>
      </x:c>
      <x:c r="E62" s="24" t="n">
        <x:v>90</x:v>
      </x:c>
      <x:c r="F62" s="26" t="n">
        <x:v>2705.223341365142</x:v>
      </x:c>
      <x:c r="G62" s="26" t="n">
        <x:v>83.8619235823194</x:v>
      </x:c>
      <x:c r="H62" s="26" t="n">
        <x:v>5.9514913510033125</x:v>
      </x:c>
      <x:c r="I62" s="26" t="n">
        <x:f>F62-G62-H62</x:f>
        <x:v>2615.4099264318193</x:v>
      </x:c>
      <x:c r="J62" s="26" t="n">
        <x:v>273.375</x:v>
      </x:c>
      <x:c r="K62" s="27" t="n">
        <x:v>68.0006580872273</x:v>
      </x:c>
    </x:row>
    <x:row r="63">
      <x:c r="A63" s="22" t="n">
        <x:v>45945</x:v>
      </x:c>
      <x:c r="B63" s="7" t="str">
        <x:v>INV-100062</x:v>
      </x:c>
      <x:c r="C63" s="7" t="str">
        <x:v>Sample Customer B</x:v>
      </x:c>
      <x:c r="D63" s="7" t="str">
        <x:v>FG-006</x:v>
      </x:c>
      <x:c r="E63" s="24" t="n">
        <x:v>65</x:v>
      </x:c>
      <x:c r="F63" s="26" t="n">
        <x:v>2014.1983641321222</x:v>
      </x:c>
      <x:c r="G63" s="26" t="n">
        <x:v>62.44014928809579</x:v>
      </x:c>
      <x:c r="H63" s="26" t="n">
        <x:v>4.431236401090669</x:v>
      </x:c>
      <x:c r="I63" s="26" t="n">
        <x:f>F63-G63-H63</x:f>
        <x:v>1947.3269784429356</x:v>
      </x:c>
      <x:c r="J63" s="26" t="n">
        <x:v>146.25</x:v>
      </x:c>
      <x:c r="K63" s="27" t="n">
        <x:v>50.63050143951632</x:v>
      </x:c>
    </x:row>
    <x:row r="64">
      <x:c r="A64" s="22" t="n">
        <x:v>45976</x:v>
      </x:c>
      <x:c r="B64" s="7" t="str">
        <x:v>INV-100063</x:v>
      </x:c>
      <x:c r="C64" s="7" t="str">
        <x:v>Sample Customer D</x:v>
      </x:c>
      <x:c r="D64" s="7" t="str">
        <x:v>FG-006</x:v>
      </x:c>
      <x:c r="E64" s="24" t="n">
        <x:v>70</x:v>
      </x:c>
      <x:c r="F64" s="26" t="n">
        <x:v>2234.210800829631</x:v>
      </x:c>
      <x:c r="G64" s="26" t="n">
        <x:v>69.26053482571855</x:v>
      </x:c>
      <x:c r="H64" s="26" t="n">
        <x:v>4.915263761825188</x:v>
      </x:c>
      <x:c r="I64" s="26" t="n">
        <x:f>F64-G64-H64</x:f>
        <x:v>2160.035002242087</x:v>
      </x:c>
      <x:c r="J64" s="26" t="n">
        <x:v>157.5</x:v>
      </x:c>
      <x:c r="K64" s="27" t="n">
        <x:v>56.16091005829426</x:v>
      </x:c>
    </x:row>
    <x:row r="65">
      <x:c r="A65" s="22" t="n">
        <x:v>46006</x:v>
      </x:c>
      <x:c r="B65" s="7" t="str">
        <x:v>INV-100064</x:v>
      </x:c>
      <x:c r="C65" s="7" t="str">
        <x:v>Sample Customer F</x:v>
      </x:c>
      <x:c r="D65" s="7" t="str">
        <x:v>FG-006</x:v>
      </x:c>
      <x:c r="E65" s="24" t="n">
        <x:v>75</x:v>
      </x:c>
      <x:c r="F65" s="26" t="n">
        <x:v>2254.352784470952</x:v>
      </x:c>
      <x:c r="G65" s="26" t="n">
        <x:v>69.88493631859951</x:v>
      </x:c>
      <x:c r="H65" s="26" t="n">
        <x:v>4.959576125836095</x:v>
      </x:c>
      <x:c r="I65" s="26" t="n">
        <x:f>F65-G65-H65</x:f>
        <x:v>2179.5082720265164</x:v>
      </x:c>
      <x:c r="J65" s="26" t="n">
        <x:v>227.81250000000003</x:v>
      </x:c>
      <x:c r="K65" s="27" t="n">
        <x:v>56.66721507268942</x:v>
      </x:c>
    </x:row>
    <x:row r="66">
      <x:c r="A66" s="22" t="n">
        <x:v>46037</x:v>
      </x:c>
      <x:c r="B66" s="7" t="str">
        <x:v>INV-100065</x:v>
      </x:c>
      <x:c r="C66" s="7" t="str">
        <x:v>Sample Customer B</x:v>
      </x:c>
      <x:c r="D66" s="7" t="str">
        <x:v>FG-006</x:v>
      </x:c>
      <x:c r="E66" s="24" t="n">
        <x:v>80</x:v>
      </x:c>
      <x:c r="F66" s="26" t="n">
        <x:v>2479.013371239535</x:v>
      </x:c>
      <x:c r="G66" s="26" t="n">
        <x:v>76.84941450842558</x:v>
      </x:c>
      <x:c r="H66" s="26" t="n">
        <x:v>5.453829416726977</x:v>
      </x:c>
      <x:c r="I66" s="26" t="n">
        <x:f>F66-G66-H66</x:f>
        <x:v>2396.7101273143826</x:v>
      </x:c>
      <x:c r="J66" s="26" t="n">
        <x:v>180</x:v>
      </x:c>
      <x:c r="K66" s="27" t="n">
        <x:v>62.31446331017394</x:v>
      </x:c>
    </x:row>
    <x:row r="67">
      <x:c r="A67" s="22" t="n">
        <x:v>46068</x:v>
      </x:c>
      <x:c r="B67" s="7" t="str">
        <x:v>INV-100066</x:v>
      </x:c>
      <x:c r="C67" s="7" t="str">
        <x:v>Sample Customer D</x:v>
      </x:c>
      <x:c r="D67" s="7" t="str">
        <x:v>FG-006</x:v>
      </x:c>
      <x:c r="E67" s="24" t="n">
        <x:v>85</x:v>
      </x:c>
      <x:c r="F67" s="26" t="n">
        <x:v>2712.970258150266</x:v>
      </x:c>
      <x:c r="G67" s="26" t="n">
        <x:v>84.10207800265825</x:v>
      </x:c>
      <x:c r="H67" s="26" t="n">
        <x:v>5.968534567930586</x:v>
      </x:c>
      <x:c r="I67" s="26" t="n">
        <x:f>F67-G67-H67</x:f>
        <x:v>2622.8996455796773</x:v>
      </x:c>
      <x:c r="J67" s="26" t="n">
        <x:v>191.25</x:v>
      </x:c>
      <x:c r="K67" s="27" t="n">
        <x:v>68.19539078507161</x:v>
      </x:c>
    </x:row>
    <x:row r="68">
      <x:c r="A68" s="22" t="n">
        <x:v>46096</x:v>
      </x:c>
      <x:c r="B68" s="7" t="str">
        <x:v>INV-100067</x:v>
      </x:c>
      <x:c r="C68" s="7" t="str">
        <x:v>Sample Customer F</x:v>
      </x:c>
      <x:c r="D68" s="7" t="str">
        <x:v>FG-006</x:v>
      </x:c>
      <x:c r="E68" s="24" t="n">
        <x:v>90</x:v>
      </x:c>
      <x:c r="F68" s="26" t="n">
        <x:v>2705.223341365142</x:v>
      </x:c>
      <x:c r="G68" s="26" t="n">
        <x:v>83.8619235823194</x:v>
      </x:c>
      <x:c r="H68" s="26" t="n">
        <x:v>5.9514913510033125</x:v>
      </x:c>
      <x:c r="I68" s="26" t="n">
        <x:f>F68-G68-H68</x:f>
        <x:v>2615.4099264318193</x:v>
      </x:c>
      <x:c r="J68" s="26" t="n">
        <x:v>273.375</x:v>
      </x:c>
      <x:c r="K68" s="27" t="n">
        <x:v>68.0006580872273</x:v>
      </x:c>
    </x:row>
    <x:row r="69">
      <x:c r="A69" s="22" t="n">
        <x:v>46127</x:v>
      </x:c>
      <x:c r="B69" s="7" t="str">
        <x:v>INV-100068</x:v>
      </x:c>
      <x:c r="C69" s="7" t="str">
        <x:v>Sample Customer B</x:v>
      </x:c>
      <x:c r="D69" s="7" t="str">
        <x:v>FG-006</x:v>
      </x:c>
      <x:c r="E69" s="24" t="n">
        <x:v>65</x:v>
      </x:c>
      <x:c r="F69" s="26" t="n">
        <x:v>2014.1983641321222</x:v>
      </x:c>
      <x:c r="G69" s="26" t="n">
        <x:v>62.44014928809579</x:v>
      </x:c>
      <x:c r="H69" s="26" t="n">
        <x:v>4.431236401090669</x:v>
      </x:c>
      <x:c r="I69" s="26" t="n">
        <x:f>F69-G69-H69</x:f>
        <x:v>1947.3269784429356</x:v>
      </x:c>
      <x:c r="J69" s="26" t="n">
        <x:v>146.25</x:v>
      </x:c>
      <x:c r="K69" s="27" t="n">
        <x:v>50.63050143951632</x:v>
      </x:c>
    </x:row>
    <x:row r="70">
      <x:c r="A70" s="22" t="n">
        <x:v>46157</x:v>
      </x:c>
      <x:c r="B70" s="7" t="str">
        <x:v>INV-100069</x:v>
      </x:c>
      <x:c r="C70" s="7" t="str">
        <x:v>Sample Customer D</x:v>
      </x:c>
      <x:c r="D70" s="7" t="str">
        <x:v>FG-006</x:v>
      </x:c>
      <x:c r="E70" s="24" t="n">
        <x:v>70</x:v>
      </x:c>
      <x:c r="F70" s="26" t="n">
        <x:v>2234.210800829631</x:v>
      </x:c>
      <x:c r="G70" s="26" t="n">
        <x:v>69.26053482571855</x:v>
      </x:c>
      <x:c r="H70" s="26" t="n">
        <x:v>4.915263761825188</x:v>
      </x:c>
      <x:c r="I70" s="26" t="n">
        <x:f>F70-G70-H70</x:f>
        <x:v>2160.035002242087</x:v>
      </x:c>
      <x:c r="J70" s="26" t="n">
        <x:v>157.5</x:v>
      </x:c>
      <x:c r="K70" s="27" t="n">
        <x:v>56.16091005829426</x:v>
      </x:c>
    </x:row>
    <x:row r="71">
      <x:c r="A71" s="22" t="n">
        <x:v>46188</x:v>
      </x:c>
      <x:c r="B71" s="7" t="str">
        <x:v>INV-100070</x:v>
      </x:c>
      <x:c r="C71" s="7" t="str">
        <x:v>Sample Customer F</x:v>
      </x:c>
      <x:c r="D71" s="7" t="str">
        <x:v>FG-006</x:v>
      </x:c>
      <x:c r="E71" s="24" t="n">
        <x:v>75</x:v>
      </x:c>
      <x:c r="F71" s="26" t="n">
        <x:v>2254.352784470952</x:v>
      </x:c>
      <x:c r="G71" s="26" t="n">
        <x:v>69.88493631859951</x:v>
      </x:c>
      <x:c r="H71" s="26" t="n">
        <x:v>4.959576125836095</x:v>
      </x:c>
      <x:c r="I71" s="26" t="n">
        <x:f>F71-G71-H71</x:f>
        <x:v>2179.5082720265164</x:v>
      </x:c>
      <x:c r="J71" s="26" t="n">
        <x:v>227.81250000000003</x:v>
      </x:c>
      <x:c r="K71" s="27" t="n">
        <x:v>56.66721507268942</x:v>
      </x:c>
    </x:row>
    <x:row r="72">
      <x:c r="A72" s="22" t="n">
        <x:v>46218</x:v>
      </x:c>
      <x:c r="B72" s="7" t="str">
        <x:v>INV-100071</x:v>
      </x:c>
      <x:c r="C72" s="7" t="str">
        <x:v>Sample Customer B</x:v>
      </x:c>
      <x:c r="D72" s="7" t="str">
        <x:v>FG-006</x:v>
      </x:c>
      <x:c r="E72" s="24" t="n">
        <x:v>80</x:v>
      </x:c>
      <x:c r="F72" s="26" t="n">
        <x:v>2479.013371239535</x:v>
      </x:c>
      <x:c r="G72" s="26" t="n">
        <x:v>76.84941450842558</x:v>
      </x:c>
      <x:c r="H72" s="26" t="n">
        <x:v>23.798528363899536</x:v>
      </x:c>
      <x:c r="I72" s="26" t="n">
        <x:f>F72-G72-H72</x:f>
        <x:v>2378.36542836721</x:v>
      </x:c>
      <x:c r="J72" s="26" t="n">
        <x:v>180</x:v>
      </x:c>
      <x:c r="K72" s="27" t="n">
        <x:v>61.837501137547456</x:v>
      </x:c>
    </x:row>
    <x:row r="73">
      <x:c r="A73" s="22" t="n">
        <x:v>46249</x:v>
      </x:c>
      <x:c r="B73" s="7" t="str">
        <x:v>INV-100072</x:v>
      </x:c>
      <x:c r="C73" s="7" t="str">
        <x:v>Sample Customer D</x:v>
      </x:c>
      <x:c r="D73" s="7" t="str">
        <x:v>FG-006</x:v>
      </x:c>
      <x:c r="E73" s="24" t="n">
        <x:v>85</x:v>
      </x:c>
      <x:c r="F73" s="26" t="n">
        <x:v>2712.970258150266</x:v>
      </x:c>
      <x:c r="G73" s="26" t="n">
        <x:v>84.10207800265825</x:v>
      </x:c>
      <x:c r="H73" s="26" t="n">
        <x:v>5.968534567930586</x:v>
      </x:c>
      <x:c r="I73" s="26" t="n">
        <x:f>F73-G73-H73</x:f>
        <x:v>2622.8996455796773</x:v>
      </x:c>
      <x:c r="J73" s="26" t="n">
        <x:v>191.25</x:v>
      </x:c>
      <x:c r="K73" s="27" t="n">
        <x:v>68.19539078507161</x:v>
      </x:c>
    </x:row>
    <x:row r="74">
      <x:c r="A74" s="22" t="n">
        <x:v>45915</x:v>
      </x:c>
      <x:c r="B74" s="7" t="str">
        <x:v>INV-100073</x:v>
      </x:c>
      <x:c r="C74" s="7" t="str">
        <x:v>Sample Customer A</x:v>
      </x:c>
      <x:c r="D74" s="7" t="str">
        <x:v>FG-007</x:v>
      </x:c>
      <x:c r="E74" s="24" t="n">
        <x:v>105</x:v>
      </x:c>
      <x:c r="F74" s="26" t="n">
        <x:v>1881.653461913691</x:v>
      </x:c>
      <x:c r="G74" s="26" t="n">
        <x:v>69.62117809080658</x:v>
      </x:c>
      <x:c r="H74" s="26" t="n">
        <x:v>54.1916197031143</x:v>
      </x:c>
      <x:c r="I74" s="26" t="n">
        <x:f>F74-G74-H74</x:f>
        <x:v>1757.84066411977</x:v>
      </x:c>
      <x:c r="J74" s="26" t="n">
        <x:v>325.5</x:v>
      </x:c>
      <x:c r="K74" s="27" t="n">
        <x:v>31.64113195415586</x:v>
      </x:c>
    </x:row>
    <x:row r="75">
      <x:c r="A75" s="22" t="n">
        <x:v>45945</x:v>
      </x:c>
      <x:c r="B75" s="7" t="str">
        <x:v>INV-100074</x:v>
      </x:c>
      <x:c r="C75" s="7" t="str">
        <x:v>Sample Customer C</x:v>
      </x:c>
      <x:c r="D75" s="7" t="str">
        <x:v>FG-007</x:v>
      </x:c>
      <x:c r="E75" s="24" t="n">
        <x:v>115</x:v>
      </x:c>
      <x:c r="F75" s="26" t="n">
        <x:v>2124.5964469324936</x:v>
      </x:c>
      <x:c r="G75" s="26" t="n">
        <x:v>78.61006853650227</x:v>
      </x:c>
      <x:c r="H75" s="26" t="n">
        <x:v>14.02233654975446</x:v>
      </x:c>
      <x:c r="I75" s="26" t="n">
        <x:f>F75-G75-H75</x:f>
        <x:v>2031.9640418462368</x:v>
      </x:c>
      <x:c r="J75" s="26" t="n">
        <x:v>356.5</x:v>
      </x:c>
      <x:c r="K75" s="27" t="n">
        <x:v>36.57535275323226</x:v>
      </x:c>
    </x:row>
    <x:row r="76">
      <x:c r="A76" s="22" t="n">
        <x:v>45976</x:v>
      </x:c>
      <x:c r="B76" s="7" t="str">
        <x:v>INV-100075</x:v>
      </x:c>
      <x:c r="C76" s="7" t="str">
        <x:v>Sample Customer E</x:v>
      </x:c>
      <x:c r="D76" s="7" t="str">
        <x:v>FG-007</x:v>
      </x:c>
      <x:c r="E76" s="24" t="n">
        <x:v>125</x:v>
      </x:c>
      <x:c r="F76" s="26" t="n">
        <x:v>2378.62428297877</x:v>
      </x:c>
      <x:c r="G76" s="26" t="n">
        <x:v>88.00909847021451</x:v>
      </x:c>
      <x:c r="H76" s="26" t="n">
        <x:v>15.698920267659885</x:v>
      </x:c>
      <x:c r="I76" s="26" t="n">
        <x:f>F76-G76-H76</x:f>
        <x:v>2274.9162642408955</x:v>
      </x:c>
      <x:c r="J76" s="26" t="n">
        <x:v>457.25</x:v>
      </x:c>
      <x:c r="K76" s="27" t="n">
        <x:v>40.948492756336115</x:v>
      </x:c>
    </x:row>
    <x:row r="77">
      <x:c r="A77" s="22" t="n">
        <x:v>46006</x:v>
      </x:c>
      <x:c r="B77" s="7" t="str">
        <x:v>INV-100076</x:v>
      </x:c>
      <x:c r="C77" s="7" t="str">
        <x:v>Sample Customer A</x:v>
      </x:c>
      <x:c r="D77" s="7" t="str">
        <x:v>FG-007</x:v>
      </x:c>
      <x:c r="E77" s="24" t="n">
        <x:v>135</x:v>
      </x:c>
      <x:c r="F77" s="26" t="n">
        <x:v>2419.268736746174</x:v>
      </x:c>
      <x:c r="G77" s="26" t="n">
        <x:v>89.51294325960845</x:v>
      </x:c>
      <x:c r="H77" s="26" t="n">
        <x:v>15.96717366252475</x:v>
      </x:c>
      <x:c r="I77" s="26" t="n">
        <x:f>F77-G77-H77</x:f>
        <x:v>2313.788619824041</x:v>
      </x:c>
      <x:c r="J77" s="26" t="n">
        <x:v>418.5</x:v>
      </x:c>
      <x:c r="K77" s="27" t="n">
        <x:v>41.64819515683273</x:v>
      </x:c>
    </x:row>
    <x:row r="78">
      <x:c r="A78" s="22" t="n">
        <x:v>46037</x:v>
      </x:c>
      <x:c r="B78" s="7" t="str">
        <x:v>INV-100077</x:v>
      </x:c>
      <x:c r="C78" s="7" t="str">
        <x:v>Sample Customer C</x:v>
      </x:c>
      <x:c r="D78" s="7" t="str">
        <x:v>FG-007</x:v>
      </x:c>
      <x:c r="E78" s="24" t="n">
        <x:v>145</x:v>
      </x:c>
      <x:c r="F78" s="26" t="n">
        <x:v>2678.8389983061875</x:v>
      </x:c>
      <x:c r="G78" s="26" t="n">
        <x:v>99.11704293732895</x:v>
      </x:c>
      <x:c r="H78" s="26" t="n">
        <x:v>17.68033738882084</x:v>
      </x:c>
      <x:c r="I78" s="26" t="n">
        <x:f>F78-G78-H78</x:f>
        <x:v>2562.0416179800377</x:v>
      </x:c>
      <x:c r="J78" s="26" t="n">
        <x:v>449.5</x:v>
      </x:c>
      <x:c r="K78" s="27" t="n">
        <x:v>46.11674912364067</x:v>
      </x:c>
    </x:row>
    <x:row r="79">
      <x:c r="A79" s="22" t="n">
        <x:v>46068</x:v>
      </x:c>
      <x:c r="B79" s="7" t="str">
        <x:v>INV-100078</x:v>
      </x:c>
      <x:c r="C79" s="7" t="str">
        <x:v>Sample Customer E</x:v>
      </x:c>
      <x:c r="D79" s="7" t="str">
        <x:v>FG-007</x:v>
      </x:c>
      <x:c r="E79" s="24" t="n">
        <x:v>150</x:v>
      </x:c>
      <x:c r="F79" s="26" t="n">
        <x:v>2854.349139574524</x:v>
      </x:c>
      <x:c r="G79" s="26" t="n">
        <x:v>105.61091816425741</x:v>
      </x:c>
      <x:c r="H79" s="26" t="n">
        <x:v>18.838704321191862</x:v>
      </x:c>
      <x:c r="I79" s="26" t="n">
        <x:f>F79-G79-H79</x:f>
        <x:v>2729.899517089075</x:v>
      </x:c>
      <x:c r="J79" s="26" t="n">
        <x:v>548.6999999999999</x:v>
      </x:c>
      <x:c r="K79" s="27" t="n">
        <x:v>49.13819130760334</x:v>
      </x:c>
    </x:row>
    <x:row r="80">
      <x:c r="A80" s="22" t="n">
        <x:v>46096</x:v>
      </x:c>
      <x:c r="B80" s="7" t="str">
        <x:v>INV-100079</x:v>
      </x:c>
      <x:c r="C80" s="7" t="str">
        <x:v>Sample Customer A</x:v>
      </x:c>
      <x:c r="D80" s="7" t="str">
        <x:v>FG-007</x:v>
      </x:c>
      <x:c r="E80" s="24" t="n">
        <x:v>105</x:v>
      </x:c>
      <x:c r="F80" s="26" t="n">
        <x:v>1881.653461913691</x:v>
      </x:c>
      <x:c r="G80" s="26" t="n">
        <x:v>69.62117809080658</x:v>
      </x:c>
      <x:c r="H80" s="26" t="n">
        <x:v>12.418912848630361</x:v>
      </x:c>
      <x:c r="I80" s="26" t="n">
        <x:f>F80-G80-H80</x:f>
        <x:v>1799.6133709742542</x:v>
      </x:c>
      <x:c r="J80" s="26" t="n">
        <x:v>325.5</x:v>
      </x:c>
      <x:c r="K80" s="27" t="n">
        <x:v>32.393040677536575</x:v>
      </x:c>
    </x:row>
    <x:row r="81">
      <x:c r="A81" s="22" t="n">
        <x:v>46127</x:v>
      </x:c>
      <x:c r="B81" s="7" t="str">
        <x:v>INV-100080</x:v>
      </x:c>
      <x:c r="C81" s="7" t="str">
        <x:v>Sample Customer C</x:v>
      </x:c>
      <x:c r="D81" s="7" t="str">
        <x:v>FG-007</x:v>
      </x:c>
      <x:c r="E81" s="24" t="n">
        <x:v>115</x:v>
      </x:c>
      <x:c r="F81" s="26" t="n">
        <x:v>2124.5964469324936</x:v>
      </x:c>
      <x:c r="G81" s="26" t="n">
        <x:v>78.61006853650227</x:v>
      </x:c>
      <x:c r="H81" s="26" t="n">
        <x:v>14.02233654975446</x:v>
      </x:c>
      <x:c r="I81" s="26" t="n">
        <x:f>F81-G81-H81</x:f>
        <x:v>2031.9640418462368</x:v>
      </x:c>
      <x:c r="J81" s="26" t="n">
        <x:v>356.5</x:v>
      </x:c>
      <x:c r="K81" s="27" t="n">
        <x:v>36.57535275323226</x:v>
      </x:c>
    </x:row>
    <x:row r="82">
      <x:c r="A82" s="22" t="n">
        <x:v>46157</x:v>
      </x:c>
      <x:c r="B82" s="7" t="str">
        <x:v>INV-100081</x:v>
      </x:c>
      <x:c r="C82" s="7" t="str">
        <x:v>Sample Customer E</x:v>
      </x:c>
      <x:c r="D82" s="7" t="str">
        <x:v>FG-007</x:v>
      </x:c>
      <x:c r="E82" s="24" t="n">
        <x:v>125</x:v>
      </x:c>
      <x:c r="F82" s="26" t="n">
        <x:v>2378.62428297877</x:v>
      </x:c>
      <x:c r="G82" s="26" t="n">
        <x:v>88.00909847021451</x:v>
      </x:c>
      <x:c r="H82" s="26" t="n">
        <x:v>15.698920267659885</x:v>
      </x:c>
      <x:c r="I82" s="26" t="n">
        <x:f>F82-G82-H82</x:f>
        <x:v>2274.9162642408955</x:v>
      </x:c>
      <x:c r="J82" s="26" t="n">
        <x:v>457.25</x:v>
      </x:c>
      <x:c r="K82" s="27" t="n">
        <x:v>40.948492756336115</x:v>
      </x:c>
    </x:row>
    <x:row r="83">
      <x:c r="A83" s="22" t="n">
        <x:v>46188</x:v>
      </x:c>
      <x:c r="B83" s="7" t="str">
        <x:v>INV-100082</x:v>
      </x:c>
      <x:c r="C83" s="7" t="str">
        <x:v>Sample Customer A</x:v>
      </x:c>
      <x:c r="D83" s="7" t="str">
        <x:v>FG-007</x:v>
      </x:c>
      <x:c r="E83" s="24" t="n">
        <x:v>135</x:v>
      </x:c>
      <x:c r="F83" s="26" t="n">
        <x:v>2419.268736746174</x:v>
      </x:c>
      <x:c r="G83" s="26" t="n">
        <x:v>89.51294325960845</x:v>
      </x:c>
      <x:c r="H83" s="26" t="n">
        <x:v>15.96717366252475</x:v>
      </x:c>
      <x:c r="I83" s="26" t="n">
        <x:f>F83-G83-H83</x:f>
        <x:v>2313.788619824041</x:v>
      </x:c>
      <x:c r="J83" s="26" t="n">
        <x:v>418.5</x:v>
      </x:c>
      <x:c r="K83" s="27" t="n">
        <x:v>41.64819515683273</x:v>
      </x:c>
    </x:row>
    <x:row r="84">
      <x:c r="A84" s="22" t="n">
        <x:v>46218</x:v>
      </x:c>
      <x:c r="B84" s="7" t="str">
        <x:v>INV-100083</x:v>
      </x:c>
      <x:c r="C84" s="7" t="str">
        <x:v>Sample Customer C</x:v>
      </x:c>
      <x:c r="D84" s="7" t="str">
        <x:v>FG-007</x:v>
      </x:c>
      <x:c r="E84" s="24" t="n">
        <x:v>145</x:v>
      </x:c>
      <x:c r="F84" s="26" t="n">
        <x:v>2678.8389983061875</x:v>
      </x:c>
      <x:c r="G84" s="26" t="n">
        <x:v>99.11704293732895</x:v>
      </x:c>
      <x:c r="H84" s="26" t="n">
        <x:v>17.68033738882084</x:v>
      </x:c>
      <x:c r="I84" s="26" t="n">
        <x:f>F84-G84-H84</x:f>
        <x:v>2562.0416179800377</x:v>
      </x:c>
      <x:c r="J84" s="26" t="n">
        <x:v>449.5</x:v>
      </x:c>
      <x:c r="K84" s="27" t="n">
        <x:v>46.11674912364067</x:v>
      </x:c>
    </x:row>
    <x:row r="85">
      <x:c r="A85" s="22" t="n">
        <x:v>46249</x:v>
      </x:c>
      <x:c r="B85" s="7" t="str">
        <x:v>INV-100084</x:v>
      </x:c>
      <x:c r="C85" s="7" t="str">
        <x:v>Sample Customer E</x:v>
      </x:c>
      <x:c r="D85" s="7" t="str">
        <x:v>FG-007</x:v>
      </x:c>
      <x:c r="E85" s="24" t="n">
        <x:v>150</x:v>
      </x:c>
      <x:c r="F85" s="26" t="n">
        <x:v>2854.349139574524</x:v>
      </x:c>
      <x:c r="G85" s="26" t="n">
        <x:v>105.61091816425741</x:v>
      </x:c>
      <x:c r="H85" s="26" t="n">
        <x:v>18.838704321191862</x:v>
      </x:c>
      <x:c r="I85" s="26" t="n">
        <x:f>F85-G85-H85</x:f>
        <x:v>2729.899517089075</x:v>
      </x:c>
      <x:c r="J85" s="26" t="n">
        <x:v>548.6999999999999</x:v>
      </x:c>
      <x:c r="K85" s="27" t="n">
        <x:v>49.13819130760334</x:v>
      </x:c>
    </x:row>
    <x:row r="86">
      <x:c r="A86" s="22" t="n">
        <x:v>45915</x:v>
      </x:c>
      <x:c r="B86" s="7" t="str">
        <x:v>INV-100085</x:v>
      </x:c>
      <x:c r="C86" s="7" t="str">
        <x:v>Sample Customer B</x:v>
      </x:c>
      <x:c r="D86" s="7" t="str">
        <x:v>FG-008</x:v>
      </x:c>
      <x:c r="E86" s="24" t="n">
        <x:v>135</x:v>
      </x:c>
      <x:c r="F86" s="26" t="n">
        <x:v>2127.511720376901</x:v>
      </x:c>
      <x:c r="G86" s="26" t="n">
        <x:v>91.48300397620675</x:v>
      </x:c>
      <x:c r="H86" s="26" t="n">
        <x:v>4.680525784829182</x:v>
      </x:c>
      <x:c r="I86" s="26" t="n">
        <x:f>F86-G86-H86</x:f>
        <x:v>2031.3481906158652</x:v>
      </x:c>
      <x:c r="J86" s="26" t="n">
        <x:v>533.25</x:v>
      </x:c>
      <x:c r="K86" s="27" t="n">
        <x:v>44.68966019354903</x:v>
      </x:c>
    </x:row>
    <x:row r="87">
      <x:c r="A87" s="22" t="n">
        <x:v>45945</x:v>
      </x:c>
      <x:c r="B87" s="7" t="str">
        <x:v>INV-100086</x:v>
      </x:c>
      <x:c r="C87" s="7" t="str">
        <x:v>Sample Customer D</x:v>
      </x:c>
      <x:c r="D87" s="7" t="str">
        <x:v>FG-008</x:v>
      </x:c>
      <x:c r="E87" s="24" t="n">
        <x:v>145</x:v>
      </x:c>
      <x:c r="F87" s="26" t="n">
        <x:v>2355.778537263464</x:v>
      </x:c>
      <x:c r="G87" s="26" t="n">
        <x:v>101.29847710232896</x:v>
      </x:c>
      <x:c r="H87" s="26" t="n">
        <x:v>5.182712781979621</x:v>
      </x:c>
      <x:c r="I87" s="26" t="n">
        <x:f>F87-G87-H87</x:f>
        <x:v>2249.2973473791553</x:v>
      </x:c>
      <x:c r="J87" s="26" t="n">
        <x:v>572.75</x:v>
      </x:c>
      <x:c r="K87" s="27" t="n">
        <x:v>49.48454164234141</x:v>
      </x:c>
    </x:row>
    <x:row r="88">
      <x:c r="A88" s="22" t="n">
        <x:v>45976</x:v>
      </x:c>
      <x:c r="B88" s="7" t="str">
        <x:v>INV-100087</x:v>
      </x:c>
      <x:c r="C88" s="7" t="str">
        <x:v>Sample Customer F</x:v>
      </x:c>
      <x:c r="D88" s="7" t="str">
        <x:v>FG-008</x:v>
      </x:c>
      <x:c r="E88" s="24" t="n">
        <x:v>155</x:v>
      </x:c>
      <x:c r="F88" s="26" t="n">
        <x:v>2593.7934032697385</x:v>
      </x:c>
      <x:c r="G88" s="26" t="n">
        <x:v>111.53311634059877</x:v>
      </x:c>
      <x:c r="H88" s="26" t="n">
        <x:v>24.900416671389486</x:v>
      </x:c>
      <x:c r="I88" s="26" t="n">
        <x:f>F88-G88-H88</x:f>
        <x:v>2457.3598702577506</x:v>
      </x:c>
      <x:c r="J88" s="26" t="n">
        <x:v>826.5375</x:v>
      </x:c>
      <x:c r="K88" s="27" t="n">
        <x:v>54.061917145670506</x:v>
      </x:c>
    </x:row>
    <x:row r="89">
      <x:c r="A89" s="22" t="n">
        <x:v>46006</x:v>
      </x:c>
      <x:c r="B89" s="7" t="str">
        <x:v>INV-100088</x:v>
      </x:c>
      <x:c r="C89" s="7" t="str">
        <x:v>Sample Customer B</x:v>
      </x:c>
      <x:c r="D89" s="7" t="str">
        <x:v>FG-008</x:v>
      </x:c>
      <x:c r="E89" s="24" t="n">
        <x:v>165</x:v>
      </x:c>
      <x:c r="F89" s="26" t="n">
        <x:v>2600.2921026828785</x:v>
      </x:c>
      <x:c r="G89" s="26" t="n">
        <x:v>111.81256041536379</x:v>
      </x:c>
      <x:c r="H89" s="26" t="n">
        <x:v>5.720642625902333</x:v>
      </x:c>
      <x:c r="I89" s="26" t="n">
        <x:f>F89-G89-H89</x:f>
        <x:v>2482.7588996416125</x:v>
      </x:c>
      <x:c r="J89" s="26" t="n">
        <x:v>651.75</x:v>
      </x:c>
      <x:c r="K89" s="27" t="n">
        <x:v>54.62069579211547</x:v>
      </x:c>
    </x:row>
    <x:row r="90">
      <x:c r="A90" s="22" t="n">
        <x:v>46037</x:v>
      </x:c>
      <x:c r="B90" s="7" t="str">
        <x:v>INV-100089</x:v>
      </x:c>
      <x:c r="C90" s="7" t="str">
        <x:v>Sample Customer D</x:v>
      </x:c>
      <x:c r="D90" s="7" t="str">
        <x:v>FG-008</x:v>
      </x:c>
      <x:c r="E90" s="24" t="n">
        <x:v>175</x:v>
      </x:c>
      <x:c r="F90" s="26" t="n">
        <x:v>2843.1809932490087</x:v>
      </x:c>
      <x:c r="G90" s="26" t="n">
        <x:v>122.25678270970738</x:v>
      </x:c>
      <x:c r="H90" s="26" t="n">
        <x:v>6.254998185147819</x:v>
      </x:c>
      <x:c r="I90" s="26" t="n">
        <x:f>F90-G90-H90</x:f>
        <x:v>2714.6692123541534</x:v>
      </x:c>
      <x:c r="J90" s="26" t="n">
        <x:v>691.25</x:v>
      </x:c>
      <x:c r="K90" s="27" t="n">
        <x:v>59.722722671791374</x:v>
      </x:c>
    </x:row>
    <x:row r="91">
      <x:c r="A91" s="22" t="n">
        <x:v>46068</x:v>
      </x:c>
      <x:c r="B91" s="7" t="str">
        <x:v>INV-100090</x:v>
      </x:c>
      <x:c r="C91" s="7" t="str">
        <x:v>Sample Customer F</x:v>
      </x:c>
      <x:c r="D91" s="7" t="str">
        <x:v>FG-008</x:v>
      </x:c>
      <x:c r="E91" s="24" t="n">
        <x:v>120</x:v>
      </x:c>
      <x:c r="F91" s="26" t="n">
        <x:v>2008.0981186604427</x:v>
      </x:c>
      <x:c r="G91" s="26" t="n">
        <x:v>86.34821910239904</x:v>
      </x:c>
      <x:c r="H91" s="26" t="n">
        <x:v>4.417815861052974</x:v>
      </x:c>
      <x:c r="I91" s="26" t="n">
        <x:f>F91-G91-H91</x:f>
        <x:v>1917.3320836969906</x:v>
      </x:c>
      <x:c r="J91" s="26" t="n">
        <x:v>639.9000000000001</x:v>
      </x:c>
      <x:c r="K91" s="27" t="n">
        <x:v>42.18130584133379</x:v>
      </x:c>
    </x:row>
    <x:row r="92">
      <x:c r="A92" s="22" t="n">
        <x:v>46096</x:v>
      </x:c>
      <x:c r="B92" s="7" t="str">
        <x:v>INV-100091</x:v>
      </x:c>
      <x:c r="C92" s="7" t="str">
        <x:v>Sample Customer B</x:v>
      </x:c>
      <x:c r="D92" s="7" t="str">
        <x:v>FG-008</x:v>
      </x:c>
      <x:c r="E92" s="24" t="n">
        <x:v>135</x:v>
      </x:c>
      <x:c r="F92" s="26" t="n">
        <x:v>2127.511720376901</x:v>
      </x:c>
      <x:c r="G92" s="26" t="n">
        <x:v>91.48300397620675</x:v>
      </x:c>
      <x:c r="H92" s="26" t="n">
        <x:v>4.680525784829182</x:v>
      </x:c>
      <x:c r="I92" s="26" t="n">
        <x:f>F92-G92-H92</x:f>
        <x:v>2031.3481906158652</x:v>
      </x:c>
      <x:c r="J92" s="26" t="n">
        <x:v>533.25</x:v>
      </x:c>
      <x:c r="K92" s="27" t="n">
        <x:v>44.68966019354903</x:v>
      </x:c>
    </x:row>
    <x:row r="93">
      <x:c r="A93" s="22" t="n">
        <x:v>46127</x:v>
      </x:c>
      <x:c r="B93" s="7" t="str">
        <x:v>INV-100092</x:v>
      </x:c>
      <x:c r="C93" s="7" t="str">
        <x:v>Sample Customer D</x:v>
      </x:c>
      <x:c r="D93" s="7" t="str">
        <x:v>FG-008</x:v>
      </x:c>
      <x:c r="E93" s="24" t="n">
        <x:v>145</x:v>
      </x:c>
      <x:c r="F93" s="26" t="n">
        <x:v>2355.778537263464</x:v>
      </x:c>
      <x:c r="G93" s="26" t="n">
        <x:v>101.29847710232896</x:v>
      </x:c>
      <x:c r="H93" s="26" t="n">
        <x:v>5.182712781979621</x:v>
      </x:c>
      <x:c r="I93" s="26" t="n">
        <x:f>F93-G93-H93</x:f>
        <x:v>2249.2973473791553</x:v>
      </x:c>
      <x:c r="J93" s="26" t="n">
        <x:v>572.75</x:v>
      </x:c>
      <x:c r="K93" s="27" t="n">
        <x:v>49.48454164234141</x:v>
      </x:c>
    </x:row>
    <x:row r="94">
      <x:c r="A94" s="22" t="n">
        <x:v>46157</x:v>
      </x:c>
      <x:c r="B94" s="7" t="str">
        <x:v>INV-100093</x:v>
      </x:c>
      <x:c r="C94" s="7" t="str">
        <x:v>Sample Customer F</x:v>
      </x:c>
      <x:c r="D94" s="7" t="str">
        <x:v>FG-008</x:v>
      </x:c>
      <x:c r="E94" s="24" t="n">
        <x:v>155</x:v>
      </x:c>
      <x:c r="F94" s="26" t="n">
        <x:v>2593.7934032697385</x:v>
      </x:c>
      <x:c r="G94" s="26" t="n">
        <x:v>111.53311634059877</x:v>
      </x:c>
      <x:c r="H94" s="26" t="n">
        <x:v>5.706345487193425</x:v>
      </x:c>
      <x:c r="I94" s="26" t="n">
        <x:f>F94-G94-H94</x:f>
        <x:v>2476.5539414419463</x:v>
      </x:c>
      <x:c r="J94" s="26" t="n">
        <x:v>826.5375</x:v>
      </x:c>
      <x:c r="K94" s="27" t="n">
        <x:v>54.48418671172281</x:v>
      </x:c>
    </x:row>
    <x:row r="95">
      <x:c r="A95" s="22" t="n">
        <x:v>46188</x:v>
      </x:c>
      <x:c r="B95" s="7" t="str">
        <x:v>INV-100094</x:v>
      </x:c>
      <x:c r="C95" s="7" t="str">
        <x:v>Sample Customer B</x:v>
      </x:c>
      <x:c r="D95" s="7" t="str">
        <x:v>FG-008</x:v>
      </x:c>
      <x:c r="E95" s="24" t="n">
        <x:v>165</x:v>
      </x:c>
      <x:c r="F95" s="26" t="n">
        <x:v>2600.2921026828785</x:v>
      </x:c>
      <x:c r="G95" s="26" t="n">
        <x:v>111.81256041536379</x:v>
      </x:c>
      <x:c r="H95" s="26" t="n">
        <x:v>5.720642625902333</x:v>
      </x:c>
      <x:c r="I95" s="26" t="n">
        <x:f>F95-G95-H95</x:f>
        <x:v>2482.7588996416125</x:v>
      </x:c>
      <x:c r="J95" s="26" t="n">
        <x:v>651.75</x:v>
      </x:c>
      <x:c r="K95" s="27" t="n">
        <x:v>54.62069579211547</x:v>
      </x:c>
    </x:row>
    <x:row r="96">
      <x:c r="A96" s="22" t="n">
        <x:v>46218</x:v>
      </x:c>
      <x:c r="B96" s="7" t="str">
        <x:v>INV-100095</x:v>
      </x:c>
      <x:c r="C96" s="7" t="str">
        <x:v>Sample Customer D</x:v>
      </x:c>
      <x:c r="D96" s="7" t="str">
        <x:v>FG-008</x:v>
      </x:c>
      <x:c r="E96" s="24" t="n">
        <x:v>175</x:v>
      </x:c>
      <x:c r="F96" s="26" t="n">
        <x:v>2843.1809932490087</x:v>
      </x:c>
      <x:c r="G96" s="26" t="n">
        <x:v>122.25678270970738</x:v>
      </x:c>
      <x:c r="H96" s="26" t="n">
        <x:v>6.254998185147819</x:v>
      </x:c>
      <x:c r="I96" s="26" t="n">
        <x:f>F96-G96-H96</x:f>
        <x:v>2714.6692123541534</x:v>
      </x:c>
      <x:c r="J96" s="26" t="n">
        <x:v>691.25</x:v>
      </x:c>
      <x:c r="K96" s="27" t="n">
        <x:v>59.722722671791374</x:v>
      </x:c>
    </x:row>
    <x:row r="97">
      <x:c r="A97" s="22" t="n">
        <x:v>46249</x:v>
      </x:c>
      <x:c r="B97" s="7" t="str">
        <x:v>INV-100096</x:v>
      </x:c>
      <x:c r="C97" s="7" t="str">
        <x:v>Sample Customer F</x:v>
      </x:c>
      <x:c r="D97" s="7" t="str">
        <x:v>FG-008</x:v>
      </x:c>
      <x:c r="E97" s="24" t="n">
        <x:v>120</x:v>
      </x:c>
      <x:c r="F97" s="26" t="n">
        <x:v>2008.0981186604427</x:v>
      </x:c>
      <x:c r="G97" s="26" t="n">
        <x:v>86.34821910239904</x:v>
      </x:c>
      <x:c r="H97" s="26" t="n">
        <x:v>4.417815861052974</x:v>
      </x:c>
      <x:c r="I97" s="26" t="n">
        <x:f>F97-G97-H97</x:f>
        <x:v>1917.3320836969906</x:v>
      </x:c>
      <x:c r="J97" s="26" t="n">
        <x:v>639.9000000000001</x:v>
      </x:c>
      <x:c r="K97" s="27" t="n">
        <x:v>42.18130584133379</x:v>
      </x:c>
    </x:row>
    <x:row r="98">
      <x:c r="A98" s="22" t="n">
        <x:v>45915</x:v>
      </x:c>
      <x:c r="B98" s="7" t="str">
        <x:v>INV-100097</x:v>
      </x:c>
      <x:c r="C98" s="7" t="str">
        <x:v>Sample Customer C</x:v>
      </x:c>
      <x:c r="D98" s="7" t="str">
        <x:v>FG-009</x:v>
      </x:c>
      <x:c r="E98" s="24" t="n">
        <x:v>275</x:v>
      </x:c>
      <x:c r="F98" s="26" t="n">
        <x:v>5898.144055302125</x:v>
      </x:c>
      <x:c r="G98" s="26" t="n">
        <x:v>147.45360138255313</x:v>
      </x:c>
      <x:c r="H98" s="26" t="n">
        <x:v>12.975916921664675</x:v>
      </x:c>
      <x:c r="I98" s="26" t="n">
        <x:f>F98-G98-H98</x:f>
        <x:v>5737.714536997907</x:v>
      </x:c>
      <x:c r="J98" s="26" t="n">
        <x:v>1320</x:v>
      </x:c>
      <x:c r="K98" s="27" t="n">
        <x:v>149.18057796194557</x:v>
      </x:c>
    </x:row>
    <x:row r="99">
      <x:c r="A99" s="22" t="n">
        <x:v>45945</x:v>
      </x:c>
      <x:c r="B99" s="7" t="str">
        <x:v>INV-100098</x:v>
      </x:c>
      <x:c r="C99" s="7" t="str">
        <x:v>Sample Customer E</x:v>
      </x:c>
      <x:c r="D99" s="7" t="str">
        <x:v>FG-009</x:v>
      </x:c>
      <x:c r="E99" s="24" t="n">
        <x:v>295</x:v>
      </x:c>
      <x:c r="F99" s="26" t="n">
        <x:v>6522.783491336933</x:v>
      </x:c>
      <x:c r="G99" s="26" t="n">
        <x:v>163.06958728342335</x:v>
      </x:c>
      <x:c r="H99" s="26" t="n">
        <x:v>14.350123680941254</x:v>
      </x:c>
      <x:c r="I99" s="26" t="n">
        <x:f>F99-G99-H99</x:f>
        <x:v>6345.363780372569</x:v>
      </x:c>
      <x:c r="J99" s="26" t="n">
        <x:v>1670.8799999999999</x:v>
      </x:c>
      <x:c r="K99" s="27" t="n">
        <x:v>164.9794582896868</x:v>
      </x:c>
    </x:row>
    <x:row r="100">
      <x:c r="A100" s="22" t="n">
        <x:v>45976</x:v>
      </x:c>
      <x:c r="B100" s="7" t="str">
        <x:v>INV-100099</x:v>
      </x:c>
      <x:c r="C100" s="7" t="str">
        <x:v>Sample Customer A</x:v>
      </x:c>
      <x:c r="D100" s="7" t="str">
        <x:v>FG-009</x:v>
      </x:c>
      <x:c r="E100" s="24" t="n">
        <x:v>320</x:v>
      </x:c>
      <x:c r="F100" s="26" t="n">
        <x:v>7287.828605914079</x:v>
      </x:c>
      <x:c r="G100" s="26" t="n">
        <x:v>182.19571514785198</x:v>
      </x:c>
      <x:c r="H100" s="26" t="n">
        <x:v>16.033222933010975</x:v>
      </x:c>
      <x:c r="I100" s="26" t="n">
        <x:f>F100-G100-H100</x:f>
        <x:v>7089.599667833217</x:v>
      </x:c>
      <x:c r="J100" s="26" t="n">
        <x:v>1536</x:v>
      </x:c>
      <x:c r="K100" s="27" t="n">
        <x:v>184.32959136366364</x:v>
      </x:c>
    </x:row>
    <x:row r="101">
      <x:c r="A101" s="22" t="n">
        <x:v>46006</x:v>
      </x:c>
      <x:c r="B101" s="7" t="str">
        <x:v>INV-100100</x:v>
      </x:c>
      <x:c r="C101" s="7" t="str">
        <x:v>Sample Customer C</x:v>
      </x:c>
      <x:c r="D101" s="7" t="str">
        <x:v>FG-009</x:v>
      </x:c>
      <x:c r="E101" s="24" t="n">
        <x:v>340</x:v>
      </x:c>
      <x:c r="F101" s="26" t="n">
        <x:v>7292.2508320099</x:v>
      </x:c>
      <x:c r="G101" s="26" t="n">
        <x:v>182.3062708002475</x:v>
      </x:c>
      <x:c r="H101" s="26" t="n">
        <x:v>16.04295183042178</x:v>
      </x:c>
      <x:c r="I101" s="26" t="n">
        <x:f>F101-G101-H101</x:f>
        <x:v>7093.901609379231</x:v>
      </x:c>
      <x:c r="J101" s="26" t="n">
        <x:v>1632</x:v>
      </x:c>
      <x:c r="K101" s="27" t="n">
        <x:v>184.44144184386</x:v>
      </x:c>
    </x:row>
    <x:row r="102">
      <x:c r="A102" s="22" t="n">
        <x:v>46037</x:v>
      </x:c>
      <x:c r="B102" s="7" t="str">
        <x:v>INV-100101</x:v>
      </x:c>
      <x:c r="C102" s="7" t="str">
        <x:v>Sample Customer E</x:v>
      </x:c>
      <x:c r="D102" s="7" t="str">
        <x:v>FG-009</x:v>
      </x:c>
      <x:c r="E102" s="24" t="n">
        <x:v>235</x:v>
      </x:c>
      <x:c r="F102" s="26" t="n">
        <x:v>5196.115662590438</x:v>
      </x:c>
      <x:c r="G102" s="26" t="n">
        <x:v>129.90289156476095</x:v>
      </x:c>
      <x:c r="H102" s="26" t="n">
        <x:v>49.882710360868195</x:v>
      </x:c>
      <x:c r="I102" s="26" t="n">
        <x:f>F102-G102-H102</x:f>
        <x:v>5016.330060664808</x:v>
      </x:c>
      <x:c r="J102" s="26" t="n">
        <x:v>1331.04</x:v>
      </x:c>
      <x:c r="K102" s="27" t="n">
        <x:v>130.424581577285</x:v>
      </x:c>
    </x:row>
    <x:row r="103">
      <x:c r="A103" s="22" t="n">
        <x:v>46068</x:v>
      </x:c>
      <x:c r="B103" s="7" t="str">
        <x:v>INV-100102</x:v>
      </x:c>
      <x:c r="C103" s="7" t="str">
        <x:v>Sample Customer A</x:v>
      </x:c>
      <x:c r="D103" s="7" t="str">
        <x:v>FG-009</x:v>
      </x:c>
      <x:c r="E103" s="24" t="n">
        <x:v>255</x:v>
      </x:c>
      <x:c r="F103" s="26" t="n">
        <x:v>5807.4884203377815</x:v>
      </x:c>
      <x:c r="G103" s="26" t="n">
        <x:v>145.18721050844454</x:v>
      </x:c>
      <x:c r="H103" s="26" t="n">
        <x:v>12.77647452474312</x:v>
      </x:c>
      <x:c r="I103" s="26" t="n">
        <x:f>F103-G103-H103</x:f>
        <x:v>5649.524735304593</x:v>
      </x:c>
      <x:c r="J103" s="26" t="n">
        <x:v>1224</x:v>
      </x:c>
      <x:c r="K103" s="27" t="n">
        <x:v>146.88764311791942</x:v>
      </x:c>
    </x:row>
    <x:row r="104">
      <x:c r="A104" s="22" t="n">
        <x:v>46096</x:v>
      </x:c>
      <x:c r="B104" s="7" t="str">
        <x:v>INV-100103</x:v>
      </x:c>
      <x:c r="C104" s="7" t="str">
        <x:v>Sample Customer C</x:v>
      </x:c>
      <x:c r="D104" s="7" t="str">
        <x:v>FG-009</x:v>
      </x:c>
      <x:c r="E104" s="24" t="n">
        <x:v>275</x:v>
      </x:c>
      <x:c r="F104" s="26" t="n">
        <x:v>5898.144055302125</x:v>
      </x:c>
      <x:c r="G104" s="26" t="n">
        <x:v>147.45360138255313</x:v>
      </x:c>
      <x:c r="H104" s="26" t="n">
        <x:v>12.975916921664675</x:v>
      </x:c>
      <x:c r="I104" s="26" t="n">
        <x:f>F104-G104-H104</x:f>
        <x:v>5737.714536997907</x:v>
      </x:c>
      <x:c r="J104" s="26" t="n">
        <x:v>1320</x:v>
      </x:c>
      <x:c r="K104" s="27" t="n">
        <x:v>149.18057796194557</x:v>
      </x:c>
    </x:row>
    <x:row r="105">
      <x:c r="A105" s="22" t="n">
        <x:v>46127</x:v>
      </x:c>
      <x:c r="B105" s="7" t="str">
        <x:v>INV-100104</x:v>
      </x:c>
      <x:c r="C105" s="7" t="str">
        <x:v>Sample Customer E</x:v>
      </x:c>
      <x:c r="D105" s="7" t="str">
        <x:v>FG-009</x:v>
      </x:c>
      <x:c r="E105" s="24" t="n">
        <x:v>295</x:v>
      </x:c>
      <x:c r="F105" s="26" t="n">
        <x:v>6522.783491336933</x:v>
      </x:c>
      <x:c r="G105" s="26" t="n">
        <x:v>163.06958728342335</x:v>
      </x:c>
      <x:c r="H105" s="26" t="n">
        <x:v>14.350123680941254</x:v>
      </x:c>
      <x:c r="I105" s="26" t="n">
        <x:f>F105-G105-H105</x:f>
        <x:v>6345.363780372569</x:v>
      </x:c>
      <x:c r="J105" s="26" t="n">
        <x:v>1670.8799999999999</x:v>
      </x:c>
      <x:c r="K105" s="27" t="n">
        <x:v>164.9794582896868</x:v>
      </x:c>
    </x:row>
    <x:row r="106">
      <x:c r="A106" s="22" t="n">
        <x:v>46157</x:v>
      </x:c>
      <x:c r="B106" s="7" t="str">
        <x:v>INV-100105</x:v>
      </x:c>
      <x:c r="C106" s="7" t="str">
        <x:v>Sample Customer A</x:v>
      </x:c>
      <x:c r="D106" s="7" t="str">
        <x:v>FG-009</x:v>
      </x:c>
      <x:c r="E106" s="24" t="n">
        <x:v>320</x:v>
      </x:c>
      <x:c r="F106" s="26" t="n">
        <x:v>7287.828605914079</x:v>
      </x:c>
      <x:c r="G106" s="26" t="n">
        <x:v>182.19571514785198</x:v>
      </x:c>
      <x:c r="H106" s="26" t="n">
        <x:v>16.033222933010975</x:v>
      </x:c>
      <x:c r="I106" s="26" t="n">
        <x:f>F106-G106-H106</x:f>
        <x:v>7089.599667833217</x:v>
      </x:c>
      <x:c r="J106" s="26" t="n">
        <x:v>1536</x:v>
      </x:c>
      <x:c r="K106" s="27" t="n">
        <x:v>184.32959136366364</x:v>
      </x:c>
    </x:row>
    <x:row r="107">
      <x:c r="A107" s="22" t="n">
        <x:v>46188</x:v>
      </x:c>
      <x:c r="B107" s="7" t="str">
        <x:v>INV-100106</x:v>
      </x:c>
      <x:c r="C107" s="7" t="str">
        <x:v>Sample Customer C</x:v>
      </x:c>
      <x:c r="D107" s="7" t="str">
        <x:v>FG-009</x:v>
      </x:c>
      <x:c r="E107" s="24" t="n">
        <x:v>340</x:v>
      </x:c>
      <x:c r="F107" s="26" t="n">
        <x:v>7292.2508320099</x:v>
      </x:c>
      <x:c r="G107" s="26" t="n">
        <x:v>182.3062708002475</x:v>
      </x:c>
      <x:c r="H107" s="26" t="n">
        <x:v>16.04295183042178</x:v>
      </x:c>
      <x:c r="I107" s="26" t="n">
        <x:f>F107-G107-H107</x:f>
        <x:v>7093.901609379231</x:v>
      </x:c>
      <x:c r="J107" s="26" t="n">
        <x:v>1632</x:v>
      </x:c>
      <x:c r="K107" s="27" t="n">
        <x:v>184.44144184386</x:v>
      </x:c>
    </x:row>
    <x:row r="108">
      <x:c r="A108" s="22" t="n">
        <x:v>46218</x:v>
      </x:c>
      <x:c r="B108" s="7" t="str">
        <x:v>INV-100107</x:v>
      </x:c>
      <x:c r="C108" s="7" t="str">
        <x:v>Sample Customer E</x:v>
      </x:c>
      <x:c r="D108" s="7" t="str">
        <x:v>FG-009</x:v>
      </x:c>
      <x:c r="E108" s="24" t="n">
        <x:v>235</x:v>
      </x:c>
      <x:c r="F108" s="26" t="n">
        <x:v>5196.115662590438</x:v>
      </x:c>
      <x:c r="G108" s="26" t="n">
        <x:v>129.90289156476095</x:v>
      </x:c>
      <x:c r="H108" s="26" t="n">
        <x:v>11.431454457698964</x:v>
      </x:c>
      <x:c r="I108" s="26" t="n">
        <x:f>F108-G108-H108</x:f>
        <x:v>5054.781316567977</x:v>
      </x:c>
      <x:c r="J108" s="26" t="n">
        <x:v>1331.04</x:v>
      </x:c>
      <x:c r="K108" s="27" t="n">
        <x:v>131.4243142307674</x:v>
      </x:c>
    </x:row>
    <x:row r="109">
      <x:c r="A109" s="22" t="n">
        <x:v>46249</x:v>
      </x:c>
      <x:c r="B109" s="7" t="str">
        <x:v>INV-100108</x:v>
      </x:c>
      <x:c r="C109" s="7" t="str">
        <x:v>Sample Customer A</x:v>
      </x:c>
      <x:c r="D109" s="7" t="str">
        <x:v>FG-009</x:v>
      </x:c>
      <x:c r="E109" s="24" t="n">
        <x:v>255</x:v>
      </x:c>
      <x:c r="F109" s="26" t="n">
        <x:v>5807.4884203377815</x:v>
      </x:c>
      <x:c r="G109" s="26" t="n">
        <x:v>145.18721050844454</x:v>
      </x:c>
      <x:c r="H109" s="26" t="n">
        <x:v>12.77647452474312</x:v>
      </x:c>
      <x:c r="I109" s="26" t="n">
        <x:f>F109-G109-H109</x:f>
        <x:v>5649.524735304593</x:v>
      </x:c>
      <x:c r="J109" s="26" t="n">
        <x:v>1224</x:v>
      </x:c>
      <x:c r="K109" s="27" t="n">
        <x:v>146.88764311791942</x:v>
      </x:c>
    </x:row>
    <x:row r="110">
      <x:c r="A110" s="22" t="n">
        <x:v>45915</x:v>
      </x:c>
      <x:c r="B110" s="7" t="str">
        <x:v>INV-100109</x:v>
      </x:c>
      <x:c r="C110" s="7" t="str">
        <x:v>Sample Customer D</x:v>
      </x:c>
      <x:c r="D110" s="7" t="str">
        <x:v>FG-010</x:v>
      </x:c>
      <x:c r="E110" s="24" t="n">
        <x:v>135</x:v>
      </x:c>
      <x:c r="F110" s="26" t="n">
        <x:v>5018.611281532129</x:v>
      </x:c>
      <x:c r="G110" s="26" t="n">
        <x:v>155.57694972749601</x:v>
      </x:c>
      <x:c r="H110" s="26" t="n">
        <x:v>11.040944819370685</x:v>
      </x:c>
      <x:c r="I110" s="26" t="n">
        <x:f>F110-G110-H110</x:f>
        <x:v>4851.993386985263</x:v>
      </x:c>
      <x:c r="J110" s="26" t="n">
        <x:v>965.25</x:v>
      </x:c>
      <x:c r="K110" s="27" t="n">
        <x:v>87.33588096573473</x:v>
      </x:c>
    </x:row>
    <x:row r="111">
      <x:c r="A111" s="22" t="n">
        <x:v>45945</x:v>
      </x:c>
      <x:c r="B111" s="7" t="str">
        <x:v>INV-100110</x:v>
      </x:c>
      <x:c r="C111" s="7" t="str">
        <x:v>Sample Customer F</x:v>
      </x:c>
      <x:c r="D111" s="7" t="str">
        <x:v>FG-010</x:v>
      </x:c>
      <x:c r="E111" s="24" t="n">
        <x:v>145</x:v>
      </x:c>
      <x:c r="F111" s="26" t="n">
        <x:v>5557.072438504459</x:v>
      </x:c>
      <x:c r="G111" s="26" t="n">
        <x:v>172.2692455936382</x:v>
      </x:c>
      <x:c r="H111" s="26" t="n">
        <x:v>12.22555936470981</x:v>
      </x:c>
      <x:c r="I111" s="26" t="n">
        <x:f>F111-G111-H111</x:f>
        <x:v>5372.5776335461105</x:v>
      </x:c>
      <x:c r="J111" s="26" t="n">
        <x:v>1399.6125000000002</x:v>
      </x:c>
      <x:c r="K111" s="27" t="n">
        <x:v>96.70639740382998</x:v>
      </x:c>
    </x:row>
    <x:row r="112">
      <x:c r="A112" s="22" t="n">
        <x:v>45976</x:v>
      </x:c>
      <x:c r="B112" s="7" t="str">
        <x:v>INV-100111</x:v>
      </x:c>
      <x:c r="C112" s="7" t="str">
        <x:v>Sample Customer B</x:v>
      </x:c>
      <x:c r="D112" s="7" t="str">
        <x:v>FG-010</x:v>
      </x:c>
      <x:c r="E112" s="24" t="n">
        <x:v>155</x:v>
      </x:c>
      <x:c r="F112" s="26" t="n">
        <x:v>6118.528377980944</x:v>
      </x:c>
      <x:c r="G112" s="26" t="n">
        <x:v>189.67437971740927</x:v>
      </x:c>
      <x:c r="H112" s="26" t="n">
        <x:v>13.460762431558079</x:v>
      </x:c>
      <x:c r="I112" s="26" t="n">
        <x:f>F112-G112-H112</x:f>
        <x:v>5915.393235831977</x:v>
      </x:c>
      <x:c r="J112" s="26" t="n">
        <x:v>1108.25</x:v>
      </x:c>
      <x:c r="K112" s="27" t="n">
        <x:v>106.47707824497557</x:v>
      </x:c>
    </x:row>
    <x:row r="113">
      <x:c r="A113" s="22" t="n">
        <x:v>46006</x:v>
      </x:c>
      <x:c r="B113" s="7" t="str">
        <x:v>INV-100112</x:v>
      </x:c>
      <x:c r="C113" s="7" t="str">
        <x:v>Sample Customer D</x:v>
      </x:c>
      <x:c r="D113" s="7" t="str">
        <x:v>FG-010</x:v>
      </x:c>
      <x:c r="E113" s="24" t="n">
        <x:v>105</x:v>
      </x:c>
      <x:c r="F113" s="26" t="n">
        <x:v>3903.3643300805456</x:v>
      </x:c>
      <x:c r="G113" s="26" t="n">
        <x:v>121.00429423249692</x:v>
      </x:c>
      <x:c r="H113" s="26" t="n">
        <x:v>8.587401526177201</x:v>
      </x:c>
      <x:c r="I113" s="26" t="n">
        <x:f>F113-G113-H113</x:f>
        <x:v>3773.772634321872</x:v>
      </x:c>
      <x:c r="J113" s="26" t="n">
        <x:v>750.75</x:v>
      </x:c>
      <x:c r="K113" s="27" t="n">
        <x:v>67.92790741779369</x:v>
      </x:c>
    </x:row>
    <x:row r="114">
      <x:c r="A114" s="22" t="n">
        <x:v>46037</x:v>
      </x:c>
      <x:c r="B114" s="7" t="str">
        <x:v>INV-100113</x:v>
      </x:c>
      <x:c r="C114" s="7" t="str">
        <x:v>Sample Customer F</x:v>
      </x:c>
      <x:c r="D114" s="7" t="str">
        <x:v>FG-010</x:v>
      </x:c>
      <x:c r="E114" s="24" t="n">
        <x:v>115</x:v>
      </x:c>
      <x:c r="F114" s="26" t="n">
        <x:v>4407.33331329664</x:v>
      </x:c>
      <x:c r="G114" s="26" t="n">
        <x:v>136.62733271219585</x:v>
      </x:c>
      <x:c r="H114" s="26" t="n">
        <x:v>9.696133289252609</x:v>
      </x:c>
      <x:c r="I114" s="26" t="n">
        <x:f>F114-G114-H114</x:f>
        <x:v>4261.009847295191</x:v>
      </x:c>
      <x:c r="J114" s="26" t="n">
        <x:v>1110.0375000000001</x:v>
      </x:c>
      <x:c r="K114" s="27" t="n">
        <x:v>76.69817725131344</x:v>
      </x:c>
    </x:row>
    <x:row r="115">
      <x:c r="A115" s="22" t="n">
        <x:v>46068</x:v>
      </x:c>
      <x:c r="B115" s="7" t="str">
        <x:v>INV-100114</x:v>
      </x:c>
      <x:c r="C115" s="7" t="str">
        <x:v>Sample Customer B</x:v>
      </x:c>
      <x:c r="D115" s="7" t="str">
        <x:v>FG-010</x:v>
      </x:c>
      <x:c r="E115" s="24" t="n">
        <x:v>125</x:v>
      </x:c>
      <x:c r="F115" s="26" t="n">
        <x:v>4934.297079016891</x:v>
      </x:c>
      <x:c r="G115" s="26" t="n">
        <x:v>152.96320944952362</x:v>
      </x:c>
      <x:c r="H115" s="26" t="n">
        <x:v>10.855453573837162</x:v>
      </x:c>
      <x:c r="I115" s="26" t="n">
        <x:f>F115-G115-H115</x:f>
        <x:v>4770.478415993531</x:v>
      </x:c>
      <x:c r="J115" s="26" t="n">
        <x:v>893.75</x:v>
      </x:c>
      <x:c r="K115" s="27" t="n">
        <x:v>85.86861148788354</x:v>
      </x:c>
    </x:row>
    <x:row r="116">
      <x:c r="A116" s="22" t="n">
        <x:v>46096</x:v>
      </x:c>
      <x:c r="B116" s="7" t="str">
        <x:v>INV-100115</x:v>
      </x:c>
      <x:c r="C116" s="7" t="str">
        <x:v>Sample Customer D</x:v>
      </x:c>
      <x:c r="D116" s="7" t="str">
        <x:v>FG-010</x:v>
      </x:c>
      <x:c r="E116" s="24" t="n">
        <x:v>135</x:v>
      </x:c>
      <x:c r="F116" s="26" t="n">
        <x:v>5018.611281532129</x:v>
      </x:c>
      <x:c r="G116" s="26" t="n">
        <x:v>155.57694972749601</x:v>
      </x:c>
      <x:c r="H116" s="26" t="n">
        <x:v>48.17866830270844</x:v>
      </x:c>
      <x:c r="I116" s="26" t="n">
        <x:f>F116-G116-H116</x:f>
        <x:v>4814.855663501925</x:v>
      </x:c>
      <x:c r="J116" s="26" t="n">
        <x:v>965.25</x:v>
      </x:c>
      <x:c r="K116" s="27" t="n">
        <x:v>86.66740194303465</x:v>
      </x:c>
    </x:row>
    <x:row r="117">
      <x:c r="A117" s="22" t="n">
        <x:v>46127</x:v>
      </x:c>
      <x:c r="B117" s="7" t="str">
        <x:v>INV-100116</x:v>
      </x:c>
      <x:c r="C117" s="7" t="str">
        <x:v>Sample Customer F</x:v>
      </x:c>
      <x:c r="D117" s="7" t="str">
        <x:v>FG-010</x:v>
      </x:c>
      <x:c r="E117" s="24" t="n">
        <x:v>145</x:v>
      </x:c>
      <x:c r="F117" s="26" t="n">
        <x:v>5557.072438504459</x:v>
      </x:c>
      <x:c r="G117" s="26" t="n">
        <x:v>172.2692455936382</x:v>
      </x:c>
      <x:c r="H117" s="26" t="n">
        <x:v>12.22555936470981</x:v>
      </x:c>
      <x:c r="I117" s="26" t="n">
        <x:f>F117-G117-H117</x:f>
        <x:v>5372.5776335461105</x:v>
      </x:c>
      <x:c r="J117" s="26" t="n">
        <x:v>1399.6125000000002</x:v>
      </x:c>
      <x:c r="K117" s="27" t="n">
        <x:v>96.70639740382998</x:v>
      </x:c>
    </x:row>
    <x:row r="118">
      <x:c r="A118" s="22" t="n">
        <x:v>46157</x:v>
      </x:c>
      <x:c r="B118" s="7" t="str">
        <x:v>INV-100117</x:v>
      </x:c>
      <x:c r="C118" s="7" t="str">
        <x:v>Sample Customer B</x:v>
      </x:c>
      <x:c r="D118" s="7" t="str">
        <x:v>FG-010</x:v>
      </x:c>
      <x:c r="E118" s="24" t="n">
        <x:v>155</x:v>
      </x:c>
      <x:c r="F118" s="26" t="n">
        <x:v>6118.528377980944</x:v>
      </x:c>
      <x:c r="G118" s="26" t="n">
        <x:v>189.67437971740927</x:v>
      </x:c>
      <x:c r="H118" s="26" t="n">
        <x:v>13.460762431558079</x:v>
      </x:c>
      <x:c r="I118" s="26" t="n">
        <x:f>F118-G118-H118</x:f>
        <x:v>5915.393235831977</x:v>
      </x:c>
      <x:c r="J118" s="26" t="n">
        <x:v>1108.25</x:v>
      </x:c>
      <x:c r="K118" s="27" t="n">
        <x:v>106.47707824497557</x:v>
      </x:c>
    </x:row>
    <x:row r="119">
      <x:c r="A119" s="22" t="n">
        <x:v>46188</x:v>
      </x:c>
      <x:c r="B119" s="7" t="str">
        <x:v>INV-100118</x:v>
      </x:c>
      <x:c r="C119" s="7" t="str">
        <x:v>Sample Customer D</x:v>
      </x:c>
      <x:c r="D119" s="7" t="str">
        <x:v>FG-010</x:v>
      </x:c>
      <x:c r="E119" s="24" t="n">
        <x:v>105</x:v>
      </x:c>
      <x:c r="F119" s="26" t="n">
        <x:v>3903.3643300805456</x:v>
      </x:c>
      <x:c r="G119" s="26" t="n">
        <x:v>121.00429423249692</x:v>
      </x:c>
      <x:c r="H119" s="26" t="n">
        <x:v>8.587401526177201</x:v>
      </x:c>
      <x:c r="I119" s="26" t="n">
        <x:f>F119-G119-H119</x:f>
        <x:v>3773.772634321872</x:v>
      </x:c>
      <x:c r="J119" s="26" t="n">
        <x:v>750.75</x:v>
      </x:c>
      <x:c r="K119" s="27" t="n">
        <x:v>67.92790741779369</x:v>
      </x:c>
    </x:row>
    <x:row r="120">
      <x:c r="A120" s="22" t="n">
        <x:v>46218</x:v>
      </x:c>
      <x:c r="B120" s="7" t="str">
        <x:v>INV-100119</x:v>
      </x:c>
      <x:c r="C120" s="7" t="str">
        <x:v>Sample Customer F</x:v>
      </x:c>
      <x:c r="D120" s="7" t="str">
        <x:v>FG-010</x:v>
      </x:c>
      <x:c r="E120" s="24" t="n">
        <x:v>115</x:v>
      </x:c>
      <x:c r="F120" s="26" t="n">
        <x:v>4407.33331329664</x:v>
      </x:c>
      <x:c r="G120" s="26" t="n">
        <x:v>136.62733271219585</x:v>
      </x:c>
      <x:c r="H120" s="26" t="n">
        <x:v>9.696133289252609</x:v>
      </x:c>
      <x:c r="I120" s="26" t="n">
        <x:f>F120-G120-H120</x:f>
        <x:v>4261.009847295191</x:v>
      </x:c>
      <x:c r="J120" s="26" t="n">
        <x:v>1110.0375000000001</x:v>
      </x:c>
      <x:c r="K120" s="27" t="n">
        <x:v>76.69817725131344</x:v>
      </x:c>
    </x:row>
    <x:row r="121">
      <x:c r="A121" s="22" t="n">
        <x:v>46249</x:v>
      </x:c>
      <x:c r="B121" s="7" t="str">
        <x:v>INV-100120</x:v>
      </x:c>
      <x:c r="C121" s="7" t="str">
        <x:v>Sample Customer B</x:v>
      </x:c>
      <x:c r="D121" s="7" t="str">
        <x:v>FG-010</x:v>
      </x:c>
      <x:c r="E121" s="24" t="n">
        <x:v>125</x:v>
      </x:c>
      <x:c r="F121" s="26" t="n">
        <x:v>4934.297079016891</x:v>
      </x:c>
      <x:c r="G121" s="26" t="n">
        <x:v>152.96320944952362</x:v>
      </x:c>
      <x:c r="H121" s="26" t="n">
        <x:v>10.855453573837162</x:v>
      </x:c>
      <x:c r="I121" s="26" t="n">
        <x:f>F121-G121-H121</x:f>
        <x:v>4770.478415993531</x:v>
      </x:c>
      <x:c r="J121" s="26" t="n">
        <x:v>893.75</x:v>
      </x:c>
      <x:c r="K121" s="27" t="n">
        <x:v>85.86861148788354</x:v>
      </x:c>
    </x:row>
    <x:row r="122">
      <x:c r="A122" s="22" t="n">
        <x:v>45915</x:v>
      </x:c>
      <x:c r="B122" s="7" t="str">
        <x:v>INV-100121</x:v>
      </x:c>
      <x:c r="C122" s="7" t="str">
        <x:v>Sample Customer E</x:v>
      </x:c>
      <x:c r="D122" s="7" t="str">
        <x:v>FG-011</x:v>
      </x:c>
      <x:c r="E122" s="24" t="n">
        <x:v>465</x:v>
      </x:c>
      <x:c r="F122" s="26" t="n">
        <x:v>11162.49449105201</x:v>
      </x:c>
      <x:c r="G122" s="26" t="n">
        <x:v>413.0122961689244</x:v>
      </x:c>
      <x:c r="H122" s="26" t="n">
        <x:v>24.557487880314422</x:v>
      </x:c>
      <x:c r="I122" s="26" t="n">
        <x:f>F122-G122-H122</x:f>
        <x:v>10724.92470700277</x:v>
      </x:c>
      <x:c r="J122" s="26" t="n">
        <x:v>1234.575</x:v>
      </x:c>
      <x:c r="K122" s="27" t="n">
        <x:v>235.94834355406093</x:v>
      </x:c>
    </x:row>
    <x:row r="123">
      <x:c r="A123" s="22" t="n">
        <x:v>45945</x:v>
      </x:c>
      <x:c r="B123" s="7" t="str">
        <x:v>INV-100122</x:v>
      </x:c>
      <x:c r="C123" s="7" t="str">
        <x:v>Sample Customer A</x:v>
      </x:c>
      <x:c r="D123" s="7" t="str">
        <x:v>FG-011</x:v>
      </x:c>
      <x:c r="E123" s="24" t="n">
        <x:v>495</x:v>
      </x:c>
      <x:c r="F123" s="26" t="n">
        <x:v>12250.160232947002</x:v>
      </x:c>
      <x:c r="G123" s="26" t="n">
        <x:v>453.25592861903914</x:v>
      </x:c>
      <x:c r="H123" s="26" t="n">
        <x:v>26.950352512483406</x:v>
      </x:c>
      <x:c r="I123" s="26" t="n">
        <x:f>F123-G123-H123</x:f>
        <x:v>11769.95395181548</x:v>
      </x:c>
      <x:c r="J123" s="26" t="n">
        <x:v>1113.75</x:v>
      </x:c>
      <x:c r="K123" s="27" t="n">
        <x:v>258.93898693994055</x:v>
      </x:c>
    </x:row>
    <x:row r="124">
      <x:c r="A124" s="22" t="n">
        <x:v>45976</x:v>
      </x:c>
      <x:c r="B124" s="7" t="str">
        <x:v>INV-100123</x:v>
      </x:c>
      <x:c r="C124" s="7" t="str">
        <x:v>Sample Customer C</x:v>
      </x:c>
      <x:c r="D124" s="7" t="str">
        <x:v>FG-011</x:v>
      </x:c>
      <x:c r="E124" s="24" t="n">
        <x:v>340</x:v>
      </x:c>
      <x:c r="F124" s="26" t="n">
        <x:v>8666.679017329374</x:v>
      </x:c>
      <x:c r="G124" s="26" t="n">
        <x:v>320.6671236411869</x:v>
      </x:c>
      <x:c r="H124" s="26" t="n">
        <x:v>19.066693838124625</x:v>
      </x:c>
      <x:c r="I124" s="26" t="n">
        <x:f>F124-G124-H124</x:f>
        <x:v>8326.94519985006</x:v>
      </x:c>
      <x:c r="J124" s="26" t="n">
        <x:v>765</x:v>
      </x:c>
      <x:c r="K124" s="27" t="n">
        <x:v>183.19279439670132</x:v>
      </x:c>
    </x:row>
    <x:row r="125">
      <x:c r="A125" s="22" t="n">
        <x:v>46006</x:v>
      </x:c>
      <x:c r="B125" s="7" t="str">
        <x:v>INV-100124</x:v>
      </x:c>
      <x:c r="C125" s="7" t="str">
        <x:v>Sample Customer E</x:v>
      </x:c>
      <x:c r="D125" s="7" t="str">
        <x:v>FG-011</x:v>
      </x:c>
      <x:c r="E125" s="24" t="n">
        <x:v>370</x:v>
      </x:c>
      <x:c r="F125" s="26" t="n">
        <x:v>8881.984863847836</x:v>
      </x:c>
      <x:c r="G125" s="26" t="n">
        <x:v>328.63343996237</x:v>
      </x:c>
      <x:c r="H125" s="26" t="n">
        <x:v>19.540366700465242</x:v>
      </x:c>
      <x:c r="I125" s="26" t="n">
        <x:f>F125-G125-H125</x:f>
        <x:v>8533.811057185001</x:v>
      </x:c>
      <x:c r="J125" s="26" t="n">
        <x:v>982.3499999999999</x:v>
      </x:c>
      <x:c r="K125" s="27" t="n">
        <x:v>187.74384325807</x:v>
      </x:c>
    </x:row>
    <x:row r="126">
      <x:c r="A126" s="22" t="n">
        <x:v>46037</x:v>
      </x:c>
      <x:c r="B126" s="7" t="str">
        <x:v>INV-100125</x:v>
      </x:c>
      <x:c r="C126" s="7" t="str">
        <x:v>Sample Customer A</x:v>
      </x:c>
      <x:c r="D126" s="7" t="str">
        <x:v>FG-011</x:v>
      </x:c>
      <x:c r="E126" s="24" t="n">
        <x:v>400</x:v>
      </x:c>
      <x:c r="F126" s="26" t="n">
        <x:v>9899.119380159193</x:v>
      </x:c>
      <x:c r="G126" s="26" t="n">
        <x:v>366.2674170658902</x:v>
      </x:c>
      <x:c r="H126" s="26" t="n">
        <x:v>21.778062636350224</x:v>
      </x:c>
      <x:c r="I126" s="26" t="n">
        <x:f>F126-G126-H126</x:f>
        <x:v>9511.073900456951</x:v>
      </x:c>
      <x:c r="J126" s="26" t="n">
        <x:v>900</x:v>
      </x:c>
      <x:c r="K126" s="27" t="n">
        <x:v>209.24362581005292</x:v>
      </x:c>
    </x:row>
    <x:row r="127">
      <x:c r="A127" s="22" t="n">
        <x:v>46068</x:v>
      </x:c>
      <x:c r="B127" s="7" t="str">
        <x:v>INV-100126</x:v>
      </x:c>
      <x:c r="C127" s="7" t="str">
        <x:v>Sample Customer C</x:v>
      </x:c>
      <x:c r="D127" s="7" t="str">
        <x:v>FG-011</x:v>
      </x:c>
      <x:c r="E127" s="24" t="n">
        <x:v>435</x:v>
      </x:c>
      <x:c r="F127" s="26" t="n">
        <x:v>11088.251095700816</x:v>
      </x:c>
      <x:c r="G127" s="26" t="n">
        <x:v>410.26529054093027</x:v>
      </x:c>
      <x:c r="H127" s="26" t="n">
        <x:v>24.394152410541796</x:v>
      </x:c>
      <x:c r="I127" s="26" t="n">
        <x:f>F127-G127-H127</x:f>
        <x:v>10653.591652749345</x:v>
      </x:c>
      <x:c r="J127" s="26" t="n">
        <x:v>978.75</x:v>
      </x:c>
      <x:c r="K127" s="27" t="n">
        <x:v>234.37901636048556</x:v>
      </x:c>
    </x:row>
    <x:row r="128">
      <x:c r="A128" s="22" t="n">
        <x:v>46096</x:v>
      </x:c>
      <x:c r="B128" s="7" t="str">
        <x:v>INV-100127</x:v>
      </x:c>
      <x:c r="C128" s="7" t="str">
        <x:v>Sample Customer E</x:v>
      </x:c>
      <x:c r="D128" s="7" t="str">
        <x:v>FG-011</x:v>
      </x:c>
      <x:c r="E128" s="24" t="n">
        <x:v>465</x:v>
      </x:c>
      <x:c r="F128" s="26" t="n">
        <x:v>11162.49449105201</x:v>
      </x:c>
      <x:c r="G128" s="26" t="n">
        <x:v>413.0122961689244</x:v>
      </x:c>
      <x:c r="H128" s="26" t="n">
        <x:v>24.557487880314422</x:v>
      </x:c>
      <x:c r="I128" s="26" t="n">
        <x:f>F128-G128-H128</x:f>
        <x:v>10724.92470700277</x:v>
      </x:c>
      <x:c r="J128" s="26" t="n">
        <x:v>1234.575</x:v>
      </x:c>
      <x:c r="K128" s="27" t="n">
        <x:v>235.94834355406093</x:v>
      </x:c>
    </x:row>
    <x:row r="129">
      <x:c r="A129" s="22" t="n">
        <x:v>46127</x:v>
      </x:c>
      <x:c r="B129" s="7" t="str">
        <x:v>INV-100128</x:v>
      </x:c>
      <x:c r="C129" s="7" t="str">
        <x:v>Sample Customer A</x:v>
      </x:c>
      <x:c r="D129" s="7" t="str">
        <x:v>FG-011</x:v>
      </x:c>
      <x:c r="E129" s="24" t="n">
        <x:v>495</x:v>
      </x:c>
      <x:c r="F129" s="26" t="n">
        <x:v>12250.160232947002</x:v>
      </x:c>
      <x:c r="G129" s="26" t="n">
        <x:v>453.25592861903914</x:v>
      </x:c>
      <x:c r="H129" s="26" t="n">
        <x:v>26.950352512483406</x:v>
      </x:c>
      <x:c r="I129" s="26" t="n">
        <x:f>F129-G129-H129</x:f>
        <x:v>11769.95395181548</x:v>
      </x:c>
      <x:c r="J129" s="26" t="n">
        <x:v>1113.75</x:v>
      </x:c>
      <x:c r="K129" s="27" t="n">
        <x:v>258.93898693994055</x:v>
      </x:c>
    </x:row>
    <x:row r="130">
      <x:c r="A130" s="22" t="n">
        <x:v>46157</x:v>
      </x:c>
      <x:c r="B130" s="7" t="str">
        <x:v>INV-100129</x:v>
      </x:c>
      <x:c r="C130" s="7" t="str">
        <x:v>Sample Customer C</x:v>
      </x:c>
      <x:c r="D130" s="7" t="str">
        <x:v>FG-011</x:v>
      </x:c>
      <x:c r="E130" s="24" t="n">
        <x:v>340</x:v>
      </x:c>
      <x:c r="F130" s="26" t="n">
        <x:v>8666.679017329374</x:v>
      </x:c>
      <x:c r="G130" s="26" t="n">
        <x:v>320.6671236411869</x:v>
      </x:c>
      <x:c r="H130" s="26" t="n">
        <x:v>83.20011856636198</x:v>
      </x:c>
      <x:c r="I130" s="26" t="n">
        <x:f>F130-G130-H130</x:f>
        <x:v>8262.811775121825</x:v>
      </x:c>
      <x:c r="J130" s="26" t="n">
        <x:v>765</x:v>
      </x:c>
      <x:c r="K130" s="27" t="n">
        <x:v>181.78185905268015</x:v>
      </x:c>
    </x:row>
    <x:row r="131">
      <x:c r="A131" s="22" t="n">
        <x:v>46188</x:v>
      </x:c>
      <x:c r="B131" s="7" t="str">
        <x:v>INV-100130</x:v>
      </x:c>
      <x:c r="C131" s="7" t="str">
        <x:v>Sample Customer E</x:v>
      </x:c>
      <x:c r="D131" s="7" t="str">
        <x:v>FG-011</x:v>
      </x:c>
      <x:c r="E131" s="24" t="n">
        <x:v>370</x:v>
      </x:c>
      <x:c r="F131" s="26" t="n">
        <x:v>8881.984863847836</x:v>
      </x:c>
      <x:c r="G131" s="26" t="n">
        <x:v>328.63343996237</x:v>
      </x:c>
      <x:c r="H131" s="26" t="n">
        <x:v>19.540366700465242</x:v>
      </x:c>
      <x:c r="I131" s="26" t="n">
        <x:f>F131-G131-H131</x:f>
        <x:v>8533.811057185001</x:v>
      </x:c>
      <x:c r="J131" s="26" t="n">
        <x:v>982.3499999999999</x:v>
      </x:c>
      <x:c r="K131" s="27" t="n">
        <x:v>187.74384325807</x:v>
      </x:c>
    </x:row>
    <x:row r="132">
      <x:c r="A132" s="22" t="n">
        <x:v>46218</x:v>
      </x:c>
      <x:c r="B132" s="7" t="str">
        <x:v>INV-100131</x:v>
      </x:c>
      <x:c r="C132" s="7" t="str">
        <x:v>Sample Customer A</x:v>
      </x:c>
      <x:c r="D132" s="7" t="str">
        <x:v>FG-011</x:v>
      </x:c>
      <x:c r="E132" s="24" t="n">
        <x:v>400</x:v>
      </x:c>
      <x:c r="F132" s="26" t="n">
        <x:v>9899.119380159193</x:v>
      </x:c>
      <x:c r="G132" s="26" t="n">
        <x:v>366.2674170658902</x:v>
      </x:c>
      <x:c r="H132" s="26" t="n">
        <x:v>21.778062636350224</x:v>
      </x:c>
      <x:c r="I132" s="26" t="n">
        <x:f>F132-G132-H132</x:f>
        <x:v>9511.073900456951</x:v>
      </x:c>
      <x:c r="J132" s="26" t="n">
        <x:v>900</x:v>
      </x:c>
      <x:c r="K132" s="27" t="n">
        <x:v>209.24362581005292</x:v>
      </x:c>
    </x:row>
    <x:row r="133">
      <x:c r="A133" s="22" t="n">
        <x:v>46249</x:v>
      </x:c>
      <x:c r="B133" s="7" t="str">
        <x:v>INV-100132</x:v>
      </x:c>
      <x:c r="C133" s="7" t="str">
        <x:v>Sample Customer C</x:v>
      </x:c>
      <x:c r="D133" s="7" t="str">
        <x:v>FG-011</x:v>
      </x:c>
      <x:c r="E133" s="24" t="n">
        <x:v>435</x:v>
      </x:c>
      <x:c r="F133" s="26" t="n">
        <x:v>11088.251095700816</x:v>
      </x:c>
      <x:c r="G133" s="26" t="n">
        <x:v>410.26529054093027</x:v>
      </x:c>
      <x:c r="H133" s="26" t="n">
        <x:v>24.394152410541796</x:v>
      </x:c>
      <x:c r="I133" s="26" t="n">
        <x:f>F133-G133-H133</x:f>
        <x:v>10653.591652749345</x:v>
      </x:c>
      <x:c r="J133" s="26" t="n">
        <x:v>978.75</x:v>
      </x:c>
      <x:c r="K133" s="27" t="n">
        <x:v>234.37901636048556</x:v>
      </x:c>
    </x:row>
    <x:row r="134">
      <x:c r="A134" s="22" t="n">
        <x:v>45915</x:v>
      </x:c>
      <x:c r="B134" s="7" t="str">
        <x:v>INV-100133</x:v>
      </x:c>
      <x:c r="C134" s="7" t="str">
        <x:v>Sample Customer F</x:v>
      </x:c>
      <x:c r="D134" s="7" t="str">
        <x:v>FG-012</x:v>
      </x:c>
      <x:c r="E134" s="24" t="n">
        <x:v>350</x:v>
      </x:c>
      <x:c r="F134" s="26" t="n">
        <x:v>8089.586866601795</x:v>
      </x:c>
      <x:c r="G134" s="26" t="n">
        <x:v>347.8522352638772</x:v>
      </x:c>
      <x:c r="H134" s="26" t="n">
        <x:v>17.79709110652395</x:v>
      </x:c>
      <x:c r="I134" s="26" t="n">
        <x:f>F134-G134-H134</x:f>
        <x:v>7723.9375402313935</x:v>
      </x:c>
      <x:c r="J134" s="26" t="n">
        <x:v>1464.75</x:v>
      </x:c>
      <x:c r="K134" s="27" t="n">
        <x:v>200.82237604601622</x:v>
      </x:c>
    </x:row>
    <x:row r="135">
      <x:c r="A135" s="22" t="n">
        <x:v>45945</x:v>
      </x:c>
      <x:c r="B135" s="7" t="str">
        <x:v>INV-100134</x:v>
      </x:c>
      <x:c r="C135" s="7" t="str">
        <x:v>Sample Customer B</x:v>
      </x:c>
      <x:c r="D135" s="7" t="str">
        <x:v>FG-012</x:v>
      </x:c>
      <x:c r="E135" s="24" t="n">
        <x:v>240</x:v>
      </x:c>
      <x:c r="F135" s="26" t="n">
        <x:v>5718.7064741809445</x:v>
      </x:c>
      <x:c r="G135" s="26" t="n">
        <x:v>245.90437838978065</x:v>
      </x:c>
      <x:c r="H135" s="26" t="n">
        <x:v>12.581154243198078</x:v>
      </x:c>
      <x:c r="I135" s="26" t="n">
        <x:f>F135-G135-H135</x:f>
        <x:v>5460.220941547966</x:v>
      </x:c>
      <x:c r="J135" s="26" t="n">
        <x:v>744</x:v>
      </x:c>
      <x:c r="K135" s="27" t="n">
        <x:v>141.9657444802471</x:v>
      </x:c>
    </x:row>
    <x:row r="136">
      <x:c r="A136" s="22" t="n">
        <x:v>45976</x:v>
      </x:c>
      <x:c r="B136" s="7" t="str">
        <x:v>INV-100135</x:v>
      </x:c>
      <x:c r="C136" s="7" t="str">
        <x:v>Sample Customer D</x:v>
      </x:c>
      <x:c r="D136" s="7" t="str">
        <x:v>FG-012</x:v>
      </x:c>
      <x:c r="E136" s="24" t="n">
        <x:v>260</x:v>
      </x:c>
      <x:c r="F136" s="26" t="n">
        <x:v>6381.123307440238</x:v>
      </x:c>
      <x:c r="G136" s="26" t="n">
        <x:v>274.38830221993027</x:v>
      </x:c>
      <x:c r="H136" s="26" t="n">
        <x:v>14.038471276368524</x:v>
      </x:c>
      <x:c r="I136" s="26" t="n">
        <x:f>F136-G136-H136</x:f>
        <x:v>6092.696533943938</x:v>
      </x:c>
      <x:c r="J136" s="26" t="n">
        <x:v>806</x:v>
      </x:c>
      <x:c r="K136" s="27" t="n">
        <x:v>158.4101098825424</x:v>
      </x:c>
    </x:row>
    <x:row r="137">
      <x:c r="A137" s="22" t="n">
        <x:v>46006</x:v>
      </x:c>
      <x:c r="B137" s="7" t="str">
        <x:v>INV-100136</x:v>
      </x:c>
      <x:c r="C137" s="7" t="str">
        <x:v>Sample Customer F</x:v>
      </x:c>
      <x:c r="D137" s="7" t="str">
        <x:v>FG-012</x:v>
      </x:c>
      <x:c r="E137" s="24" t="n">
        <x:v>285</x:v>
      </x:c>
      <x:c r="F137" s="26" t="n">
        <x:v>6587.235019947176</x:v>
      </x:c>
      <x:c r="G137" s="26" t="n">
        <x:v>283.2511058577286</x:v>
      </x:c>
      <x:c r="H137" s="26" t="n">
        <x:v>14.491917043883788</x:v>
      </x:c>
      <x:c r="I137" s="26" t="n">
        <x:f>F137-G137-H137</x:f>
        <x:v>6289.491997045564</x:v>
      </x:c>
      <x:c r="J137" s="26" t="n">
        <x:v>1192.7250000000001</x:v>
      </x:c>
      <x:c r="K137" s="27" t="n">
        <x:v>163.52679192318465</x:v>
      </x:c>
    </x:row>
    <x:row r="138">
      <x:c r="A138" s="22" t="n">
        <x:v>46037</x:v>
      </x:c>
      <x:c r="B138" s="7" t="str">
        <x:v>INV-100137</x:v>
      </x:c>
      <x:c r="C138" s="7" t="str">
        <x:v>Sample Customer B</x:v>
      </x:c>
      <x:c r="D138" s="7" t="str">
        <x:v>FG-012</x:v>
      </x:c>
      <x:c r="E138" s="24" t="n">
        <x:v>305</x:v>
      </x:c>
      <x:c r="F138" s="26" t="n">
        <x:v>7267.522810938284</x:v>
      </x:c>
      <x:c r="G138" s="26" t="n">
        <x:v>312.50348087034627</x:v>
      </x:c>
      <x:c r="H138" s="26" t="n">
        <x:v>15.988550184064227</x:v>
      </x:c>
      <x:c r="I138" s="26" t="n">
        <x:f>F138-G138-H138</x:f>
        <x:v>6939.030779883874</x:v>
      </x:c>
      <x:c r="J138" s="26" t="n">
        <x:v>945.5</x:v>
      </x:c>
      <x:c r="K138" s="27" t="n">
        <x:v>180.4148002769807</x:v>
      </x:c>
    </x:row>
    <x:row r="139">
      <x:c r="A139" s="22" t="n">
        <x:v>46068</x:v>
      </x:c>
      <x:c r="B139" s="7" t="str">
        <x:v>INV-100138</x:v>
      </x:c>
      <x:c r="C139" s="7" t="str">
        <x:v>Sample Customer D</x:v>
      </x:c>
      <x:c r="D139" s="7" t="str">
        <x:v>FG-012</x:v>
      </x:c>
      <x:c r="E139" s="24" t="n">
        <x:v>330</x:v>
      </x:c>
      <x:c r="F139" s="26" t="n">
        <x:v>8099.118044058763</x:v>
      </x:c>
      <x:c r="G139" s="26" t="n">
        <x:v>348.26207589452684</x:v>
      </x:c>
      <x:c r="H139" s="26" t="n">
        <x:v>17.81805969692928</x:v>
      </x:c>
      <x:c r="I139" s="26" t="n">
        <x:f>F139-G139-H139</x:f>
        <x:v>7733.037908467307</x:v>
      </x:c>
      <x:c r="J139" s="26" t="n">
        <x:v>1023</x:v>
      </x:c>
      <x:c r="K139" s="27" t="n">
        <x:v>201.05898562014997</x:v>
      </x:c>
    </x:row>
    <x:row r="140">
      <x:c r="A140" s="22" t="n">
        <x:v>46096</x:v>
      </x:c>
      <x:c r="B140" s="7" t="str">
        <x:v>INV-100139</x:v>
      </x:c>
      <x:c r="C140" s="7" t="str">
        <x:v>Sample Customer F</x:v>
      </x:c>
      <x:c r="D140" s="7" t="str">
        <x:v>FG-012</x:v>
      </x:c>
      <x:c r="E140" s="24" t="n">
        <x:v>350</x:v>
      </x:c>
      <x:c r="F140" s="26" t="n">
        <x:v>8089.586866601795</x:v>
      </x:c>
      <x:c r="G140" s="26" t="n">
        <x:v>347.8522352638772</x:v>
      </x:c>
      <x:c r="H140" s="26" t="n">
        <x:v>17.79709110652395</x:v>
      </x:c>
      <x:c r="I140" s="26" t="n">
        <x:f>F140-G140-H140</x:f>
        <x:v>7723.9375402313935</x:v>
      </x:c>
      <x:c r="J140" s="26" t="n">
        <x:v>1464.75</x:v>
      </x:c>
      <x:c r="K140" s="27" t="n">
        <x:v>200.82237604601622</x:v>
      </x:c>
    </x:row>
    <x:row r="141">
      <x:c r="A141" s="22" t="n">
        <x:v>46127</x:v>
      </x:c>
      <x:c r="B141" s="7" t="str">
        <x:v>INV-100140</x:v>
      </x:c>
      <x:c r="C141" s="7" t="str">
        <x:v>Sample Customer B</x:v>
      </x:c>
      <x:c r="D141" s="7" t="str">
        <x:v>FG-012</x:v>
      </x:c>
      <x:c r="E141" s="24" t="n">
        <x:v>240</x:v>
      </x:c>
      <x:c r="F141" s="26" t="n">
        <x:v>5718.7064741809445</x:v>
      </x:c>
      <x:c r="G141" s="26" t="n">
        <x:v>245.90437838978065</x:v>
      </x:c>
      <x:c r="H141" s="26" t="n">
        <x:v>12.581154243198078</x:v>
      </x:c>
      <x:c r="I141" s="26" t="n">
        <x:f>F141-G141-H141</x:f>
        <x:v>5460.220941547966</x:v>
      </x:c>
      <x:c r="J141" s="26" t="n">
        <x:v>744</x:v>
      </x:c>
      <x:c r="K141" s="27" t="n">
        <x:v>141.9657444802471</x:v>
      </x:c>
    </x:row>
    <x:row r="142">
      <x:c r="A142" s="22" t="n">
        <x:v>46157</x:v>
      </x:c>
      <x:c r="B142" s="7" t="str">
        <x:v>INV-100141</x:v>
      </x:c>
      <x:c r="C142" s="7" t="str">
        <x:v>Sample Customer D</x:v>
      </x:c>
      <x:c r="D142" s="7" t="str">
        <x:v>FG-012</x:v>
      </x:c>
      <x:c r="E142" s="24" t="n">
        <x:v>260</x:v>
      </x:c>
      <x:c r="F142" s="26" t="n">
        <x:v>6381.123307440238</x:v>
      </x:c>
      <x:c r="G142" s="26" t="n">
        <x:v>274.38830221993027</x:v>
      </x:c>
      <x:c r="H142" s="26" t="n">
        <x:v>14.038471276368524</x:v>
      </x:c>
      <x:c r="I142" s="26" t="n">
        <x:f>F142-G142-H142</x:f>
        <x:v>6092.696533943938</x:v>
      </x:c>
      <x:c r="J142" s="26" t="n">
        <x:v>806</x:v>
      </x:c>
      <x:c r="K142" s="27" t="n">
        <x:v>158.4101098825424</x:v>
      </x:c>
    </x:row>
    <x:row r="143">
      <x:c r="A143" s="22" t="n">
        <x:v>46188</x:v>
      </x:c>
      <x:c r="B143" s="7" t="str">
        <x:v>INV-100142</x:v>
      </x:c>
      <x:c r="C143" s="7" t="str">
        <x:v>Sample Customer F</x:v>
      </x:c>
      <x:c r="D143" s="7" t="str">
        <x:v>FG-012</x:v>
      </x:c>
      <x:c r="E143" s="24" t="n">
        <x:v>285</x:v>
      </x:c>
      <x:c r="F143" s="26" t="n">
        <x:v>6587.235019947176</x:v>
      </x:c>
      <x:c r="G143" s="26" t="n">
        <x:v>283.2511058577286</x:v>
      </x:c>
      <x:c r="H143" s="26" t="n">
        <x:v>14.491917043883788</x:v>
      </x:c>
      <x:c r="I143" s="26" t="n">
        <x:f>F143-G143-H143</x:f>
        <x:v>6289.491997045564</x:v>
      </x:c>
      <x:c r="J143" s="26" t="n">
        <x:v>1192.7250000000001</x:v>
      </x:c>
      <x:c r="K143" s="27" t="n">
        <x:v>163.52679192318465</x:v>
      </x:c>
    </x:row>
    <x:row r="144">
      <x:c r="A144" s="22" t="n">
        <x:v>46218</x:v>
      </x:c>
      <x:c r="B144" s="7" t="str">
        <x:v>INV-100143</x:v>
      </x:c>
      <x:c r="C144" s="7" t="str">
        <x:v>Sample Customer B</x:v>
      </x:c>
      <x:c r="D144" s="7" t="str">
        <x:v>FG-012</x:v>
      </x:c>
      <x:c r="E144" s="24" t="n">
        <x:v>305</x:v>
      </x:c>
      <x:c r="F144" s="26" t="n">
        <x:v>7267.522810938284</x:v>
      </x:c>
      <x:c r="G144" s="26" t="n">
        <x:v>312.50348087034627</x:v>
      </x:c>
      <x:c r="H144" s="26" t="n">
        <x:v>69.76821898500752</x:v>
      </x:c>
      <x:c r="I144" s="26" t="n">
        <x:f>F144-G144-H144</x:f>
        <x:v>6885.251111082931</x:v>
      </x:c>
      <x:c r="J144" s="26" t="n">
        <x:v>945.5</x:v>
      </x:c>
      <x:c r="K144" s="27" t="n">
        <x:v>179.0165288881562</x:v>
      </x:c>
    </x:row>
    <x:row r="145">
      <x:c r="A145" s="22" t="n">
        <x:v>46249</x:v>
      </x:c>
      <x:c r="B145" s="7" t="str">
        <x:v>INV-100144</x:v>
      </x:c>
      <x:c r="C145" s="7" t="str">
        <x:v>Sample Customer D</x:v>
      </x:c>
      <x:c r="D145" s="7" t="str">
        <x:v>FG-012</x:v>
      </x:c>
      <x:c r="E145" s="24" t="n">
        <x:v>330</x:v>
      </x:c>
      <x:c r="F145" s="26" t="n">
        <x:v>8099.118044058763</x:v>
      </x:c>
      <x:c r="G145" s="26" t="n">
        <x:v>348.26207589452684</x:v>
      </x:c>
      <x:c r="H145" s="26" t="n">
        <x:v>17.81805969692928</x:v>
      </x:c>
      <x:c r="I145" s="26" t="n">
        <x:f>F145-G145-H145</x:f>
        <x:v>7733.037908467307</x:v>
      </x:c>
      <x:c r="J145" s="26" t="n">
        <x:v>1023</x:v>
      </x:c>
      <x:c r="K145" s="27" t="n">
        <x:v>201.05898562014997</x:v>
      </x:c>
    </x:row>
    <x:row r="146">
      <x:c r="A146" s="22" t="n">
        <x:v>45915</x:v>
      </x:c>
      <x:c r="B146" s="7" t="str">
        <x:v>INV-100145</x:v>
      </x:c>
      <x:c r="C146" s="7" t="str">
        <x:v>Sample Customer A</x:v>
      </x:c>
      <x:c r="D146" s="7" t="str">
        <x:v>FG-013</x:v>
      </x:c>
      <x:c r="E146" s="24" t="n">
        <x:v>70</x:v>
      </x:c>
      <x:c r="F146" s="26" t="n">
        <x:v>2115.030051944958</x:v>
      </x:c>
      <x:c r="G146" s="26" t="n">
        <x:v>52.87575129862395</x:v>
      </x:c>
      <x:c r="H146" s="26" t="n">
        <x:v>60.91286549601479</x:v>
      </x:c>
      <x:c r="I146" s="26" t="n">
        <x:f>F146-G146-H146</x:f>
        <x:v>2001.2414351503191</x:v>
      </x:c>
      <x:c r="J146" s="26" t="n">
        <x:v>276.5</x:v>
      </x:c>
      <x:c r="K146" s="27" t="n">
        <x:v>36.02234583270574</x:v>
      </x:c>
    </x:row>
    <x:row r="147">
      <x:c r="A147" s="22" t="n">
        <x:v>45945</x:v>
      </x:c>
      <x:c r="B147" s="7" t="str">
        <x:v>INV-100146</x:v>
      </x:c>
      <x:c r="C147" s="7" t="str">
        <x:v>Sample Customer C</x:v>
      </x:c>
      <x:c r="D147" s="7" t="str">
        <x:v>FG-013</x:v>
      </x:c>
      <x:c r="E147" s="24" t="n">
        <x:v>75</x:v>
      </x:c>
      <x:c r="F147" s="26" t="n">
        <x:v>2336.1893062720446</x:v>
      </x:c>
      <x:c r="G147" s="26" t="n">
        <x:v>58.404732656801116</x:v>
      </x:c>
      <x:c r="H147" s="26" t="n">
        <x:v>15.418849421395496</x:v>
      </x:c>
      <x:c r="I147" s="26" t="n">
        <x:f>F147-G147-H147</x:f>
        <x:v>2262.365724193848</x:v>
      </x:c>
      <x:c r="J147" s="26" t="n">
        <x:v>296.25</x:v>
      </x:c>
      <x:c r="K147" s="27" t="n">
        <x:v>40.722583035489265</x:v>
      </x:c>
    </x:row>
    <x:row r="148">
      <x:c r="A148" s="22" t="n">
        <x:v>45976</x:v>
      </x:c>
      <x:c r="B148" s="7" t="str">
        <x:v>INV-100147</x:v>
      </x:c>
      <x:c r="C148" s="7" t="str">
        <x:v>Sample Customer E</x:v>
      </x:c>
      <x:c r="D148" s="7" t="str">
        <x:v>FG-013</x:v>
      </x:c>
      <x:c r="E148" s="24" t="n">
        <x:v>80</x:v>
      </x:c>
      <x:c r="F148" s="26" t="n">
        <x:v>2566.69331782422</x:v>
      </x:c>
      <x:c r="G148" s="26" t="n">
        <x:v>64.1673329456055</x:v>
      </x:c>
      <x:c r="H148" s="26" t="n">
        <x:v>16.940175897639854</x:v>
      </x:c>
      <x:c r="I148" s="26" t="n">
        <x:f>F148-G148-H148</x:f>
        <x:v>2485.5858089809744</x:v>
      </x:c>
      <x:c r="J148" s="26" t="n">
        <x:v>372.88</x:v>
      </x:c>
      <x:c r="K148" s="27" t="n">
        <x:v>44.740544561657536</x:v>
      </x:c>
    </x:row>
    <x:row r="149">
      <x:c r="A149" s="22" t="n">
        <x:v>46006</x:v>
      </x:c>
      <x:c r="B149" s="7" t="str">
        <x:v>INV-100148</x:v>
      </x:c>
      <x:c r="C149" s="7" t="str">
        <x:v>Sample Customer A</x:v>
      </x:c>
      <x:c r="D149" s="7" t="str">
        <x:v>FG-013</x:v>
      </x:c>
      <x:c r="E149" s="24" t="n">
        <x:v>90</x:v>
      </x:c>
      <x:c r="F149" s="26" t="n">
        <x:v>2719.32435250066</x:v>
      </x:c>
      <x:c r="G149" s="26" t="n">
        <x:v>67.9831088125165</x:v>
      </x:c>
      <x:c r="H149" s="26" t="n">
        <x:v>17.947540726504357</x:v>
      </x:c>
      <x:c r="I149" s="26" t="n">
        <x:f>F149-G149-H149</x:f>
        <x:v>2633.393702961639</x:v>
      </x:c>
      <x:c r="J149" s="26" t="n">
        <x:v>355.5</x:v>
      </x:c>
      <x:c r="K149" s="27" t="n">
        <x:v>47.4010866533095</x:v>
      </x:c>
    </x:row>
    <x:row r="150">
      <x:c r="A150" s="22" t="n">
        <x:v>46037</x:v>
      </x:c>
      <x:c r="B150" s="7" t="str">
        <x:v>INV-100149</x:v>
      </x:c>
      <x:c r="C150" s="7" t="str">
        <x:v>Sample Customer C</x:v>
      </x:c>
      <x:c r="D150" s="7" t="str">
        <x:v>FG-013</x:v>
      </x:c>
      <x:c r="E150" s="24" t="n">
        <x:v>95</x:v>
      </x:c>
      <x:c r="F150" s="26" t="n">
        <x:v>2959.173121277923</x:v>
      </x:c>
      <x:c r="G150" s="26" t="n">
        <x:v>73.97932803194809</x:v>
      </x:c>
      <x:c r="H150" s="26" t="n">
        <x:v>19.530542600434295</x:v>
      </x:c>
      <x:c r="I150" s="26" t="n">
        <x:f>F150-G150-H150</x:f>
        <x:v>2865.6632506455408</x:v>
      </x:c>
      <x:c r="J150" s="26" t="n">
        <x:v>375.25</x:v>
      </x:c>
      <x:c r="K150" s="27" t="n">
        <x:v>51.58193851161973</x:v>
      </x:c>
    </x:row>
    <x:row r="151">
      <x:c r="A151" s="22" t="n">
        <x:v>46068</x:v>
      </x:c>
      <x:c r="B151" s="7" t="str">
        <x:v>INV-100150</x:v>
      </x:c>
      <x:c r="C151" s="7" t="str">
        <x:v>Sample Customer E</x:v>
      </x:c>
      <x:c r="D151" s="7" t="str">
        <x:v>FG-013</x:v>
      </x:c>
      <x:c r="E151" s="24" t="n">
        <x:v>100</x:v>
      </x:c>
      <x:c r="F151" s="26" t="n">
        <x:v>3208.3666472802747</x:v>
      </x:c>
      <x:c r="G151" s="26" t="n">
        <x:v>80.20916618200687</x:v>
      </x:c>
      <x:c r="H151" s="26" t="n">
        <x:v>21.175219872049816</x:v>
      </x:c>
      <x:c r="I151" s="26" t="n">
        <x:f>F151-G151-H151</x:f>
        <x:v>3106.9822612262183</x:v>
      </x:c>
      <x:c r="J151" s="26" t="n">
        <x:v>466.09999999999997</x:v>
      </x:c>
      <x:c r="K151" s="27" t="n">
        <x:v>55.92568070207192</x:v>
      </x:c>
    </x:row>
    <x:row r="152">
      <x:c r="A152" s="22" t="n">
        <x:v>46096</x:v>
      </x:c>
      <x:c r="B152" s="7" t="str">
        <x:v>INV-100151</x:v>
      </x:c>
      <x:c r="C152" s="7" t="str">
        <x:v>Sample Customer A</x:v>
      </x:c>
      <x:c r="D152" s="7" t="str">
        <x:v>FG-013</x:v>
      </x:c>
      <x:c r="E152" s="24" t="n">
        <x:v>70</x:v>
      </x:c>
      <x:c r="F152" s="26" t="n">
        <x:v>2115.030051944958</x:v>
      </x:c>
      <x:c r="G152" s="26" t="n">
        <x:v>52.87575129862395</x:v>
      </x:c>
      <x:c r="H152" s="26" t="n">
        <x:v>13.959198342836723</x:v>
      </x:c>
      <x:c r="I152" s="26" t="n">
        <x:f>F152-G152-H152</x:f>
        <x:v>2048.195102303497</x:v>
      </x:c>
      <x:c r="J152" s="26" t="n">
        <x:v>276.5</x:v>
      </x:c>
      <x:c r="K152" s="27" t="n">
        <x:v>36.86751184146295</x:v>
      </x:c>
    </x:row>
    <x:row r="153">
      <x:c r="A153" s="22" t="n">
        <x:v>46127</x:v>
      </x:c>
      <x:c r="B153" s="7" t="str">
        <x:v>INV-100152</x:v>
      </x:c>
      <x:c r="C153" s="7" t="str">
        <x:v>Sample Customer C</x:v>
      </x:c>
      <x:c r="D153" s="7" t="str">
        <x:v>FG-013</x:v>
      </x:c>
      <x:c r="E153" s="24" t="n">
        <x:v>75</x:v>
      </x:c>
      <x:c r="F153" s="26" t="n">
        <x:v>2336.1893062720446</x:v>
      </x:c>
      <x:c r="G153" s="26" t="n">
        <x:v>58.404732656801116</x:v>
      </x:c>
      <x:c r="H153" s="26" t="n">
        <x:v>15.418849421395496</x:v>
      </x:c>
      <x:c r="I153" s="26" t="n">
        <x:f>F153-G153-H153</x:f>
        <x:v>2262.365724193848</x:v>
      </x:c>
      <x:c r="J153" s="26" t="n">
        <x:v>296.25</x:v>
      </x:c>
      <x:c r="K153" s="27" t="n">
        <x:v>40.722583035489265</x:v>
      </x:c>
    </x:row>
    <x:row r="154">
      <x:c r="A154" s="22" t="n">
        <x:v>46157</x:v>
      </x:c>
      <x:c r="B154" s="7" t="str">
        <x:v>INV-100153</x:v>
      </x:c>
      <x:c r="C154" s="7" t="str">
        <x:v>Sample Customer E</x:v>
      </x:c>
      <x:c r="D154" s="7" t="str">
        <x:v>FG-013</x:v>
      </x:c>
      <x:c r="E154" s="24" t="n">
        <x:v>80</x:v>
      </x:c>
      <x:c r="F154" s="26" t="n">
        <x:v>2566.69331782422</x:v>
      </x:c>
      <x:c r="G154" s="26" t="n">
        <x:v>64.1673329456055</x:v>
      </x:c>
      <x:c r="H154" s="26" t="n">
        <x:v>16.940175897639854</x:v>
      </x:c>
      <x:c r="I154" s="26" t="n">
        <x:f>F154-G154-H154</x:f>
        <x:v>2485.5858089809744</x:v>
      </x:c>
      <x:c r="J154" s="26" t="n">
        <x:v>372.88</x:v>
      </x:c>
      <x:c r="K154" s="27" t="n">
        <x:v>44.740544561657536</x:v>
      </x:c>
    </x:row>
    <x:row r="155">
      <x:c r="A155" s="22" t="n">
        <x:v>46188</x:v>
      </x:c>
      <x:c r="B155" s="7" t="str">
        <x:v>INV-100154</x:v>
      </x:c>
      <x:c r="C155" s="7" t="str">
        <x:v>Sample Customer A</x:v>
      </x:c>
      <x:c r="D155" s="7" t="str">
        <x:v>FG-013</x:v>
      </x:c>
      <x:c r="E155" s="24" t="n">
        <x:v>90</x:v>
      </x:c>
      <x:c r="F155" s="26" t="n">
        <x:v>2719.32435250066</x:v>
      </x:c>
      <x:c r="G155" s="26" t="n">
        <x:v>67.9831088125165</x:v>
      </x:c>
      <x:c r="H155" s="26" t="n">
        <x:v>17.947540726504357</x:v>
      </x:c>
      <x:c r="I155" s="26" t="n">
        <x:f>F155-G155-H155</x:f>
        <x:v>2633.393702961639</x:v>
      </x:c>
      <x:c r="J155" s="26" t="n">
        <x:v>355.5</x:v>
      </x:c>
      <x:c r="K155" s="27" t="n">
        <x:v>47.4010866533095</x:v>
      </x:c>
    </x:row>
    <x:row r="156">
      <x:c r="A156" s="22" t="n">
        <x:v>46218</x:v>
      </x:c>
      <x:c r="B156" s="7" t="str">
        <x:v>INV-100155</x:v>
      </x:c>
      <x:c r="C156" s="7" t="str">
        <x:v>Sample Customer C</x:v>
      </x:c>
      <x:c r="D156" s="7" t="str">
        <x:v>FG-013</x:v>
      </x:c>
      <x:c r="E156" s="24" t="n">
        <x:v>95</x:v>
      </x:c>
      <x:c r="F156" s="26" t="n">
        <x:v>2959.173121277923</x:v>
      </x:c>
      <x:c r="G156" s="26" t="n">
        <x:v>73.97932803194809</x:v>
      </x:c>
      <x:c r="H156" s="26" t="n">
        <x:v>19.530542600434295</x:v>
      </x:c>
      <x:c r="I156" s="26" t="n">
        <x:f>F156-G156-H156</x:f>
        <x:v>2865.6632506455408</x:v>
      </x:c>
      <x:c r="J156" s="26" t="n">
        <x:v>375.25</x:v>
      </x:c>
      <x:c r="K156" s="27" t="n">
        <x:v>51.58193851161973</x:v>
      </x:c>
    </x:row>
    <x:row r="157">
      <x:c r="A157" s="22" t="n">
        <x:v>46249</x:v>
      </x:c>
      <x:c r="B157" s="7" t="str">
        <x:v>INV-100156</x:v>
      </x:c>
      <x:c r="C157" s="7" t="str">
        <x:v>Sample Customer E</x:v>
      </x:c>
      <x:c r="D157" s="7" t="str">
        <x:v>FG-013</x:v>
      </x:c>
      <x:c r="E157" s="24" t="n">
        <x:v>100</x:v>
      </x:c>
      <x:c r="F157" s="26" t="n">
        <x:v>3208.3666472802747</x:v>
      </x:c>
      <x:c r="G157" s="26" t="n">
        <x:v>80.20916618200687</x:v>
      </x:c>
      <x:c r="H157" s="26" t="n">
        <x:v>21.175219872049816</x:v>
      </x:c>
      <x:c r="I157" s="26" t="n">
        <x:f>F157-G157-H157</x:f>
        <x:v>3106.9822612262183</x:v>
      </x:c>
      <x:c r="J157" s="26" t="n">
        <x:v>466.09999999999997</x:v>
      </x:c>
      <x:c r="K157" s="27" t="n">
        <x:v>55.92568070207192</x:v>
      </x:c>
    </x:row>
    <x:row r="158">
      <x:c r="A158" s="22" t="n">
        <x:v>45915</x:v>
      </x:c>
      <x:c r="B158" s="7" t="str">
        <x:v>INV-100157</x:v>
      </x:c>
      <x:c r="C158" s="7" t="str">
        <x:v>Sample Customer B</x:v>
      </x:c>
      <x:c r="D158" s="7" t="str">
        <x:v>FG-014</x:v>
      </x:c>
      <x:c r="E158" s="24" t="n">
        <x:v>255</x:v>
      </x:c>
      <x:c r="F158" s="26" t="n">
        <x:v>4937.07379256467</x:v>
      </x:c>
      <x:c r="G158" s="26" t="n">
        <x:v>153.04928756950477</x:v>
      </x:c>
      <x:c r="H158" s="26" t="n">
        <x:v>10.861562343642275</x:v>
      </x:c>
      <x:c r="I158" s="26" t="n">
        <x:f>F158-G158-H158</x:f>
        <x:v>4773.162942651523</x:v>
      </x:c>
      <x:c r="J158" s="26" t="n">
        <x:v>1224</x:v>
      </x:c>
      <x:c r="K158" s="27" t="n">
        <x:v>105.0095847383335</x:v>
      </x:c>
    </x:row>
    <x:row r="159">
      <x:c r="A159" s="22" t="n">
        <x:v>45945</x:v>
      </x:c>
      <x:c r="B159" s="7" t="str">
        <x:v>INV-100158</x:v>
      </x:c>
      <x:c r="C159" s="7" t="str">
        <x:v>Sample Customer D</x:v>
      </x:c>
      <x:c r="D159" s="7" t="str">
        <x:v>FG-014</x:v>
      </x:c>
      <x:c r="E159" s="24" t="n">
        <x:v>275</x:v>
      </x:c>
      <x:c r="F159" s="26" t="n">
        <x:v>5488.964192259083</x:v>
      </x:c>
      <x:c r="G159" s="26" t="n">
        <x:v>170.15788996003155</x:v>
      </x:c>
      <x:c r="H159" s="26" t="n">
        <x:v>12.075721222969982</x:v>
      </x:c>
      <x:c r="I159" s="26" t="n">
        <x:f>F159-G159-H159</x:f>
        <x:v>5306.730581076081</x:v>
      </x:c>
      <x:c r="J159" s="26" t="n">
        <x:v>1320</x:v>
      </x:c>
      <x:c r="K159" s="27" t="n">
        <x:v>116.74807278367378</x:v>
      </x:c>
    </x:row>
    <x:row r="160">
      <x:c r="A160" s="22" t="n">
        <x:v>45976</x:v>
      </x:c>
      <x:c r="B160" s="7" t="str">
        <x:v>INV-100159</x:v>
      </x:c>
      <x:c r="C160" s="7" t="str">
        <x:v>Sample Customer F</x:v>
      </x:c>
      <x:c r="D160" s="7" t="str">
        <x:v>FG-014</x:v>
      </x:c>
      <x:c r="E160" s="24" t="n">
        <x:v>295</x:v>
      </x:c>
      <x:c r="F160" s="26" t="n">
        <x:v>6064.806435701536</x:v>
      </x:c>
      <x:c r="G160" s="26" t="n">
        <x:v>188.0089995067476</x:v>
      </x:c>
      <x:c r="H160" s="26" t="n">
        <x:v>58.222141782734745</x:v>
      </x:c>
      <x:c r="I160" s="26" t="n">
        <x:f>F160-G160-H160</x:f>
        <x:v>5818.575294412054</x:v>
      </x:c>
      <x:c r="J160" s="26" t="n">
        <x:v>1911.6000000000001</x:v>
      </x:c>
      <x:c r="K160" s="27" t="n">
        <x:v>128.0086564770652</x:v>
      </x:c>
    </x:row>
    <x:row r="161">
      <x:c r="A161" s="22" t="n">
        <x:v>46006</x:v>
      </x:c>
      <x:c r="B161" s="7" t="str">
        <x:v>INV-100160</x:v>
      </x:c>
      <x:c r="C161" s="7" t="str">
        <x:v>Sample Customer B</x:v>
      </x:c>
      <x:c r="D161" s="7" t="str">
        <x:v>FG-014</x:v>
      </x:c>
      <x:c r="E161" s="24" t="n">
        <x:v>320</x:v>
      </x:c>
      <x:c r="F161" s="26" t="n">
        <x:v>6195.543582826252</x:v>
      </x:c>
      <x:c r="G161" s="26" t="n">
        <x:v>192.0618510676138</x:v>
      </x:c>
      <x:c r="H161" s="26" t="n">
        <x:v>13.630195882217754</x:v>
      </x:c>
      <x:c r="I161" s="26" t="n">
        <x:f>F161-G161-H161</x:f>
        <x:v>5989.85153587642</x:v>
      </x:c>
      <x:c r="J161" s="26" t="n">
        <x:v>1536</x:v>
      </x:c>
      <x:c r="K161" s="27" t="n">
        <x:v>131.77673378928122</x:v>
      </x:c>
    </x:row>
    <x:row r="162">
      <x:c r="A162" s="22" t="n">
        <x:v>46037</x:v>
      </x:c>
      <x:c r="B162" s="7" t="str">
        <x:v>INV-100161</x:v>
      </x:c>
      <x:c r="C162" s="7" t="str">
        <x:v>Sample Customer D</x:v>
      </x:c>
      <x:c r="D162" s="7" t="str">
        <x:v>FG-014</x:v>
      </x:c>
      <x:c r="E162" s="24" t="n">
        <x:v>340</x:v>
      </x:c>
      <x:c r="F162" s="26" t="n">
        <x:v>6786.35572861123</x:v>
      </x:c>
      <x:c r="G162" s="26" t="n">
        <x:v>210.37702758694812</x:v>
      </x:c>
      <x:c r="H162" s="26" t="n">
        <x:v>14.929982602944706</x:v>
      </x:c>
      <x:c r="I162" s="26" t="n">
        <x:f>F162-G162-H162</x:f>
        <x:v>6561.048718421337</x:v>
      </x:c>
      <x:c r="J162" s="26" t="n">
        <x:v>1632</x:v>
      </x:c>
      <x:c r="K162" s="27" t="n">
        <x:v>144.3430718052694</x:v>
      </x:c>
    </x:row>
    <x:row r="163">
      <x:c r="A163" s="22" t="n">
        <x:v>46068</x:v>
      </x:c>
      <x:c r="B163" s="7" t="str">
        <x:v>INV-100162</x:v>
      </x:c>
      <x:c r="C163" s="7" t="str">
        <x:v>Sample Customer F</x:v>
      </x:c>
      <x:c r="D163" s="7" t="str">
        <x:v>FG-014</x:v>
      </x:c>
      <x:c r="E163" s="24" t="n">
        <x:v>235</x:v>
      </x:c>
      <x:c r="F163" s="26" t="n">
        <x:v>4831.286482677494</x:v>
      </x:c>
      <x:c r="G163" s="26" t="n">
        <x:v>149.76988096300232</x:v>
      </x:c>
      <x:c r="H163" s="26" t="n">
        <x:v>10.628830261890487</x:v>
      </x:c>
      <x:c r="I163" s="26" t="n">
        <x:f>F163-G163-H163</x:f>
        <x:v>4670.887771452602</x:v>
      </x:c>
      <x:c r="J163" s="26" t="n">
        <x:v>1522.8000000000002</x:v>
      </x:c>
      <x:c r="K163" s="27" t="n">
        <x:v>102.75953097195723</x:v>
      </x:c>
    </x:row>
    <x:row r="164">
      <x:c r="A164" s="22" t="n">
        <x:v>46096</x:v>
      </x:c>
      <x:c r="B164" s="7" t="str">
        <x:v>INV-100163</x:v>
      </x:c>
      <x:c r="C164" s="7" t="str">
        <x:v>Sample Customer B</x:v>
      </x:c>
      <x:c r="D164" s="7" t="str">
        <x:v>FG-014</x:v>
      </x:c>
      <x:c r="E164" s="24" t="n">
        <x:v>255</x:v>
      </x:c>
      <x:c r="F164" s="26" t="n">
        <x:v>4937.07379256467</x:v>
      </x:c>
      <x:c r="G164" s="26" t="n">
        <x:v>153.04928756950477</x:v>
      </x:c>
      <x:c r="H164" s="26" t="n">
        <x:v>10.861562343642275</x:v>
      </x:c>
      <x:c r="I164" s="26" t="n">
        <x:f>F164-G164-H164</x:f>
        <x:v>4773.162942651523</x:v>
      </x:c>
      <x:c r="J164" s="26" t="n">
        <x:v>1224</x:v>
      </x:c>
      <x:c r="K164" s="27" t="n">
        <x:v>105.0095847383335</x:v>
      </x:c>
    </x:row>
    <x:row r="165">
      <x:c r="A165" s="22" t="n">
        <x:v>46127</x:v>
      </x:c>
      <x:c r="B165" s="7" t="str">
        <x:v>INV-100164</x:v>
      </x:c>
      <x:c r="C165" s="7" t="str">
        <x:v>Sample Customer D</x:v>
      </x:c>
      <x:c r="D165" s="7" t="str">
        <x:v>FG-014</x:v>
      </x:c>
      <x:c r="E165" s="24" t="n">
        <x:v>275</x:v>
      </x:c>
      <x:c r="F165" s="26" t="n">
        <x:v>5488.964192259083</x:v>
      </x:c>
      <x:c r="G165" s="26" t="n">
        <x:v>170.15788996003155</x:v>
      </x:c>
      <x:c r="H165" s="26" t="n">
        <x:v>12.075721222969982</x:v>
      </x:c>
      <x:c r="I165" s="26" t="n">
        <x:f>F165-G165-H165</x:f>
        <x:v>5306.730581076081</x:v>
      </x:c>
      <x:c r="J165" s="26" t="n">
        <x:v>1320</x:v>
      </x:c>
      <x:c r="K165" s="27" t="n">
        <x:v>116.74807278367378</x:v>
      </x:c>
    </x:row>
    <x:row r="166">
      <x:c r="A166" s="22" t="n">
        <x:v>46157</x:v>
      </x:c>
      <x:c r="B166" s="7" t="str">
        <x:v>INV-100165</x:v>
      </x:c>
      <x:c r="C166" s="7" t="str">
        <x:v>Sample Customer F</x:v>
      </x:c>
      <x:c r="D166" s="7" t="str">
        <x:v>FG-014</x:v>
      </x:c>
      <x:c r="E166" s="24" t="n">
        <x:v>295</x:v>
      </x:c>
      <x:c r="F166" s="26" t="n">
        <x:v>6064.806435701536</x:v>
      </x:c>
      <x:c r="G166" s="26" t="n">
        <x:v>188.0089995067476</x:v>
      </x:c>
      <x:c r="H166" s="26" t="n">
        <x:v>13.34257415854338</x:v>
      </x:c>
      <x:c r="I166" s="26" t="n">
        <x:f>F166-G166-H166</x:f>
        <x:v>5863.454862036246</x:v>
      </x:c>
      <x:c r="J166" s="26" t="n">
        <x:v>1911.6000000000001</x:v>
      </x:c>
      <x:c r="K166" s="27" t="n">
        <x:v>128.9960069647974</x:v>
      </x:c>
    </x:row>
    <x:row r="167">
      <x:c r="A167" s="22" t="n">
        <x:v>46188</x:v>
      </x:c>
      <x:c r="B167" s="7" t="str">
        <x:v>INV-100166</x:v>
      </x:c>
      <x:c r="C167" s="7" t="str">
        <x:v>Sample Customer B</x:v>
      </x:c>
      <x:c r="D167" s="7" t="str">
        <x:v>FG-014</x:v>
      </x:c>
      <x:c r="E167" s="24" t="n">
        <x:v>320</x:v>
      </x:c>
      <x:c r="F167" s="26" t="n">
        <x:v>6195.543582826252</x:v>
      </x:c>
      <x:c r="G167" s="26" t="n">
        <x:v>192.0618510676138</x:v>
      </x:c>
      <x:c r="H167" s="26" t="n">
        <x:v>13.630195882217754</x:v>
      </x:c>
      <x:c r="I167" s="26" t="n">
        <x:f>F167-G167-H167</x:f>
        <x:v>5989.85153587642</x:v>
      </x:c>
      <x:c r="J167" s="26" t="n">
        <x:v>1536</x:v>
      </x:c>
      <x:c r="K167" s="27" t="n">
        <x:v>131.77673378928122</x:v>
      </x:c>
    </x:row>
    <x:row r="168">
      <x:c r="A168" s="22" t="n">
        <x:v>46218</x:v>
      </x:c>
      <x:c r="B168" s="7" t="str">
        <x:v>INV-100167</x:v>
      </x:c>
      <x:c r="C168" s="7" t="str">
        <x:v>Sample Customer D</x:v>
      </x:c>
      <x:c r="D168" s="7" t="str">
        <x:v>FG-014</x:v>
      </x:c>
      <x:c r="E168" s="24" t="n">
        <x:v>340</x:v>
      </x:c>
      <x:c r="F168" s="26" t="n">
        <x:v>6786.35572861123</x:v>
      </x:c>
      <x:c r="G168" s="26" t="n">
        <x:v>210.37702758694812</x:v>
      </x:c>
      <x:c r="H168" s="26" t="n">
        <x:v>14.929982602944706</x:v>
      </x:c>
      <x:c r="I168" s="26" t="n">
        <x:f>F168-G168-H168</x:f>
        <x:v>6561.048718421337</x:v>
      </x:c>
      <x:c r="J168" s="26" t="n">
        <x:v>1632</x:v>
      </x:c>
      <x:c r="K168" s="27" t="n">
        <x:v>144.3430718052694</x:v>
      </x:c>
    </x:row>
    <x:row r="169">
      <x:c r="A169" s="22" t="n">
        <x:v>46249</x:v>
      </x:c>
      <x:c r="B169" s="7" t="str">
        <x:v>INV-100168</x:v>
      </x:c>
      <x:c r="C169" s="7" t="str">
        <x:v>Sample Customer F</x:v>
      </x:c>
      <x:c r="D169" s="7" t="str">
        <x:v>FG-014</x:v>
      </x:c>
      <x:c r="E169" s="24" t="n">
        <x:v>235</x:v>
      </x:c>
      <x:c r="F169" s="26" t="n">
        <x:v>4831.286482677494</x:v>
      </x:c>
      <x:c r="G169" s="26" t="n">
        <x:v>149.76988096300232</x:v>
      </x:c>
      <x:c r="H169" s="26" t="n">
        <x:v>10.628830261890487</x:v>
      </x:c>
      <x:c r="I169" s="26" t="n">
        <x:f>F169-G169-H169</x:f>
        <x:v>4670.887771452602</x:v>
      </x:c>
      <x:c r="J169" s="26" t="n">
        <x:v>1522.8000000000002</x:v>
      </x:c>
      <x:c r="K169" s="27" t="n">
        <x:v>102.75953097195723</x:v>
      </x:c>
    </x:row>
    <x:row r="170">
      <x:c r="A170" s="22" t="n">
        <x:v>45915</x:v>
      </x:c>
      <x:c r="B170" s="7" t="str">
        <x:v>INV-100169</x:v>
      </x:c>
      <x:c r="C170" s="7" t="str">
        <x:v>Sample Customer C</x:v>
      </x:c>
      <x:c r="D170" s="7" t="str">
        <x:v>FG-015</x:v>
      </x:c>
      <x:c r="E170" s="24" t="n">
        <x:v>140</x:v>
      </x:c>
      <x:c r="F170" s="26" t="n">
        <x:v>3230.741763890154</x:v>
      </x:c>
      <x:c r="G170" s="26" t="n">
        <x:v>119.53744526393571</x:v>
      </x:c>
      <x:c r="H170" s="26" t="n">
        <x:v>7.107631880558339</x:v>
      </x:c>
      <x:c r="I170" s="26" t="n">
        <x:f>F170-G170-H170</x:f>
        <x:v>3104.0966867456596</x:v>
      </x:c>
      <x:c r="J170" s="26" t="n">
        <x:v>791</x:v>
      </x:c>
      <x:c r="K170" s="27" t="n">
        <x:v>80.70651385538714</x:v>
      </x:c>
    </x:row>
    <x:row r="171">
      <x:c r="A171" s="22" t="n">
        <x:v>45945</x:v>
      </x:c>
      <x:c r="B171" s="7" t="str">
        <x:v>INV-100170</x:v>
      </x:c>
      <x:c r="C171" s="7" t="str">
        <x:v>Sample Customer E</x:v>
      </x:c>
      <x:c r="D171" s="7" t="str">
        <x:v>FG-015</x:v>
      </x:c>
      <x:c r="E171" s="24" t="n">
        <x:v>150</x:v>
      </x:c>
      <x:c r="F171" s="26" t="n">
        <x:v>3568.5660131334544</x:v>
      </x:c>
      <x:c r="G171" s="26" t="n">
        <x:v>132.03694248593783</x:v>
      </x:c>
      <x:c r="H171" s="26" t="n">
        <x:v>7.8508452288936</x:v>
      </x:c>
      <x:c r="I171" s="26" t="n">
        <x:f>F171-G171-H171</x:f>
        <x:v>3428.6782254186232</x:v>
      </x:c>
      <x:c r="J171" s="26" t="n">
        <x:v>1000.05</x:v>
      </x:c>
      <x:c r="K171" s="27" t="n">
        <x:v>89.1456338608842</x:v>
      </x:c>
    </x:row>
    <x:row r="172">
      <x:c r="A172" s="22" t="n">
        <x:v>45976</x:v>
      </x:c>
      <x:c r="B172" s="7" t="str">
        <x:v>INV-100171</x:v>
      </x:c>
      <x:c r="C172" s="7" t="str">
        <x:v>Sample Customer A</x:v>
      </x:c>
      <x:c r="D172" s="7" t="str">
        <x:v>FG-015</x:v>
      </x:c>
      <x:c r="E172" s="24" t="n">
        <x:v>165</x:v>
      </x:c>
      <x:c r="F172" s="26" t="n">
        <x:v>4043.185292880204</x:v>
      </x:c>
      <x:c r="G172" s="26" t="n">
        <x:v>149.59785583656756</x:v>
      </x:c>
      <x:c r="H172" s="26" t="n">
        <x:v>8.895007644336449</x:v>
      </x:c>
      <x:c r="I172" s="26" t="n">
        <x:f>F172-G172-H172</x:f>
        <x:v>3884.6924293992997</x:v>
      </x:c>
      <x:c r="J172" s="26" t="n">
        <x:v>932.2500000000001</x:v>
      </x:c>
      <x:c r="K172" s="27" t="n">
        <x:v>101.00200316438179</x:v>
      </x:c>
    </x:row>
    <x:row r="173">
      <x:c r="A173" s="22" t="n">
        <x:v>46006</x:v>
      </x:c>
      <x:c r="B173" s="7" t="str">
        <x:v>INV-100172</x:v>
      </x:c>
      <x:c r="C173" s="7" t="str">
        <x:v>Sample Customer C</x:v>
      </x:c>
      <x:c r="D173" s="7" t="str">
        <x:v>FG-015</x:v>
      </x:c>
      <x:c r="E173" s="24" t="n">
        <x:v>175</x:v>
      </x:c>
      <x:c r="F173" s="26" t="n">
        <x:v>4038.4272048626926</x:v>
      </x:c>
      <x:c r="G173" s="26" t="n">
        <x:v>149.42180657991966</x:v>
      </x:c>
      <x:c r="H173" s="26" t="n">
        <x:v>8.884539850697925</x:v>
      </x:c>
      <x:c r="I173" s="26" t="n">
        <x:f>F173-G173-H173</x:f>
        <x:v>3880.1208584320752</x:v>
      </x:c>
      <x:c r="J173" s="26" t="n">
        <x:v>988.7500000000001</x:v>
      </x:c>
      <x:c r="K173" s="27" t="n">
        <x:v>100.88314231923395</x:v>
      </x:c>
    </x:row>
    <x:row r="174">
      <x:c r="A174" s="22" t="n">
        <x:v>46037</x:v>
      </x:c>
      <x:c r="B174" s="7" t="str">
        <x:v>INV-100173</x:v>
      </x:c>
      <x:c r="C174" s="7" t="str">
        <x:v>Sample Customer E</x:v>
      </x:c>
      <x:c r="D174" s="7" t="str">
        <x:v>FG-015</x:v>
      </x:c>
      <x:c r="E174" s="24" t="n">
        <x:v>120</x:v>
      </x:c>
      <x:c r="F174" s="26" t="n">
        <x:v>2854.8528105067635</x:v>
      </x:c>
      <x:c r="G174" s="26" t="n">
        <x:v>105.62955398875026</x:v>
      </x:c>
      <x:c r="H174" s="26" t="n">
        <x:v>27.406586980864926</x:v>
      </x:c>
      <x:c r="I174" s="26" t="n">
        <x:f>F174-G174-H174</x:f>
        <x:v>2721.8166695371483</x:v>
      </x:c>
      <x:c r="J174" s="26" t="n">
        <x:v>800.04</x:v>
      </x:c>
      <x:c r="K174" s="27" t="n">
        <x:v>70.76723340796585</x:v>
      </x:c>
    </x:row>
    <x:row r="175">
      <x:c r="A175" s="22" t="n">
        <x:v>46068</x:v>
      </x:c>
      <x:c r="B175" s="7" t="str">
        <x:v>INV-100174</x:v>
      </x:c>
      <x:c r="C175" s="7" t="str">
        <x:v>Sample Customer A</x:v>
      </x:c>
      <x:c r="D175" s="7" t="str">
        <x:v>FG-015</x:v>
      </x:c>
      <x:c r="E175" s="24" t="n">
        <x:v>130</x:v>
      </x:c>
      <x:c r="F175" s="26" t="n">
        <x:v>3185.539927723797</x:v>
      </x:c>
      <x:c r="G175" s="26" t="n">
        <x:v>117.8649773257805</x:v>
      </x:c>
      <x:c r="H175" s="26" t="n">
        <x:v>7.008187840992354</x:v>
      </x:c>
      <x:c r="I175" s="26" t="n">
        <x:f>F175-G175-H175</x:f>
        <x:v>3060.666762557024</x:v>
      </x:c>
      <x:c r="J175" s="26" t="n">
        <x:v>734.5</x:v>
      </x:c>
      <x:c r="K175" s="27" t="n">
        <x:v>79.57733582648262</x:v>
      </x:c>
    </x:row>
    <x:row r="176">
      <x:c r="A176" s="22" t="n">
        <x:v>46096</x:v>
      </x:c>
      <x:c r="B176" s="7" t="str">
        <x:v>INV-100175</x:v>
      </x:c>
      <x:c r="C176" s="7" t="str">
        <x:v>Sample Customer C</x:v>
      </x:c>
      <x:c r="D176" s="7" t="str">
        <x:v>FG-015</x:v>
      </x:c>
      <x:c r="E176" s="24" t="n">
        <x:v>140</x:v>
      </x:c>
      <x:c r="F176" s="26" t="n">
        <x:v>3230.741763890154</x:v>
      </x:c>
      <x:c r="G176" s="26" t="n">
        <x:v>119.53744526393571</x:v>
      </x:c>
      <x:c r="H176" s="26" t="n">
        <x:v>7.107631880558339</x:v>
      </x:c>
      <x:c r="I176" s="26" t="n">
        <x:f>F176-G176-H176</x:f>
        <x:v>3104.0966867456596</x:v>
      </x:c>
      <x:c r="J176" s="26" t="n">
        <x:v>791</x:v>
      </x:c>
      <x:c r="K176" s="27" t="n">
        <x:v>80.70651385538714</x:v>
      </x:c>
    </x:row>
    <x:row r="177">
      <x:c r="A177" s="22" t="n">
        <x:v>46127</x:v>
      </x:c>
      <x:c r="B177" s="7" t="str">
        <x:v>INV-100176</x:v>
      </x:c>
      <x:c r="C177" s="7" t="str">
        <x:v>Sample Customer E</x:v>
      </x:c>
      <x:c r="D177" s="7" t="str">
        <x:v>FG-015</x:v>
      </x:c>
      <x:c r="E177" s="24" t="n">
        <x:v>150</x:v>
      </x:c>
      <x:c r="F177" s="26" t="n">
        <x:v>3568.5660131334544</x:v>
      </x:c>
      <x:c r="G177" s="26" t="n">
        <x:v>132.03694248593783</x:v>
      </x:c>
      <x:c r="H177" s="26" t="n">
        <x:v>7.8508452288936</x:v>
      </x:c>
      <x:c r="I177" s="26" t="n">
        <x:f>F177-G177-H177</x:f>
        <x:v>3428.6782254186232</x:v>
      </x:c>
      <x:c r="J177" s="26" t="n">
        <x:v>1000.05</x:v>
      </x:c>
      <x:c r="K177" s="27" t="n">
        <x:v>89.1456338608842</x:v>
      </x:c>
    </x:row>
    <x:row r="178">
      <x:c r="A178" s="22" t="n">
        <x:v>46157</x:v>
      </x:c>
      <x:c r="B178" s="7" t="str">
        <x:v>INV-100177</x:v>
      </x:c>
      <x:c r="C178" s="7" t="str">
        <x:v>Sample Customer A</x:v>
      </x:c>
      <x:c r="D178" s="7" t="str">
        <x:v>FG-015</x:v>
      </x:c>
      <x:c r="E178" s="24" t="n">
        <x:v>165</x:v>
      </x:c>
      <x:c r="F178" s="26" t="n">
        <x:v>4043.185292880204</x:v>
      </x:c>
      <x:c r="G178" s="26" t="n">
        <x:v>149.59785583656756</x:v>
      </x:c>
      <x:c r="H178" s="26" t="n">
        <x:v>8.895007644336449</x:v>
      </x:c>
      <x:c r="I178" s="26" t="n">
        <x:f>F178-G178-H178</x:f>
        <x:v>3884.6924293992997</x:v>
      </x:c>
      <x:c r="J178" s="26" t="n">
        <x:v>932.2500000000001</x:v>
      </x:c>
      <x:c r="K178" s="27" t="n">
        <x:v>101.00200316438179</x:v>
      </x:c>
    </x:row>
    <x:row r="179">
      <x:c r="A179" s="22" t="n">
        <x:v>46188</x:v>
      </x:c>
      <x:c r="B179" s="7" t="str">
        <x:v>INV-100178</x:v>
      </x:c>
      <x:c r="C179" s="7" t="str">
        <x:v>Sample Customer C</x:v>
      </x:c>
      <x:c r="D179" s="7" t="str">
        <x:v>FG-015</x:v>
      </x:c>
      <x:c r="E179" s="24" t="n">
        <x:v>175</x:v>
      </x:c>
      <x:c r="F179" s="26" t="n">
        <x:v>4038.4272048626926</x:v>
      </x:c>
      <x:c r="G179" s="26" t="n">
        <x:v>149.42180657991966</x:v>
      </x:c>
      <x:c r="H179" s="26" t="n">
        <x:v>8.884539850697925</x:v>
      </x:c>
      <x:c r="I179" s="26" t="n">
        <x:f>F179-G179-H179</x:f>
        <x:v>3880.1208584320752</x:v>
      </x:c>
      <x:c r="J179" s="26" t="n">
        <x:v>988.7500000000001</x:v>
      </x:c>
      <x:c r="K179" s="27" t="n">
        <x:v>100.88314231923395</x:v>
      </x:c>
    </x:row>
    <x:row r="180">
      <x:c r="A180" s="22" t="n">
        <x:v>46218</x:v>
      </x:c>
      <x:c r="B180" s="7" t="str">
        <x:v>INV-100179</x:v>
      </x:c>
      <x:c r="C180" s="7" t="str">
        <x:v>Sample Customer E</x:v>
      </x:c>
      <x:c r="D180" s="7" t="str">
        <x:v>FG-015</x:v>
      </x:c>
      <x:c r="E180" s="24" t="n">
        <x:v>120</x:v>
      </x:c>
      <x:c r="F180" s="26" t="n">
        <x:v>2854.8528105067635</x:v>
      </x:c>
      <x:c r="G180" s="26" t="n">
        <x:v>105.62955398875026</x:v>
      </x:c>
      <x:c r="H180" s="26" t="n">
        <x:v>6.28067618311488</x:v>
      </x:c>
      <x:c r="I180" s="26" t="n">
        <x:f>F180-G180-H180</x:f>
        <x:v>2742.9425803348986</x:v>
      </x:c>
      <x:c r="J180" s="26" t="n">
        <x:v>800.04</x:v>
      </x:c>
      <x:c r="K180" s="27" t="n">
        <x:v>71.31650708870735</x:v>
      </x:c>
    </x:row>
    <x:row r="181">
      <x:c r="A181" s="22" t="n">
        <x:v>46249</x:v>
      </x:c>
      <x:c r="B181" s="7" t="str">
        <x:v>INV-100180</x:v>
      </x:c>
      <x:c r="C181" s="7" t="str">
        <x:v>Sample Customer A</x:v>
      </x:c>
      <x:c r="D181" s="7" t="str">
        <x:v>FG-015</x:v>
      </x:c>
      <x:c r="E181" s="24" t="n">
        <x:v>130</x:v>
      </x:c>
      <x:c r="F181" s="26" t="n">
        <x:v>3185.539927723797</x:v>
      </x:c>
      <x:c r="G181" s="26" t="n">
        <x:v>117.8649773257805</x:v>
      </x:c>
      <x:c r="H181" s="26" t="n">
        <x:v>7.008187840992354</x:v>
      </x:c>
      <x:c r="I181" s="26" t="n">
        <x:f>F181-G181-H181</x:f>
        <x:v>3060.666762557024</x:v>
      </x:c>
      <x:c r="J181" s="26" t="n">
        <x:v>734.5</x:v>
      </x:c>
      <x:c r="K181" s="27" t="n">
        <x:v>79.57733582648262</x:v>
      </x:c>
    </x:row>
    <x:row r="182">
      <x:c r="A182" s="22" t="n">
        <x:v>45915</x:v>
      </x:c>
      <x:c r="B182" s="7" t="str">
        <x:v>INV-100181</x:v>
      </x:c>
      <x:c r="C182" s="7" t="str">
        <x:v>Sample Customer D</x:v>
      </x:c>
      <x:c r="D182" s="7" t="str">
        <x:v>FG-016</x:v>
      </x:c>
      <x:c r="E182" s="24" t="n">
        <x:v>115</x:v>
      </x:c>
      <x:c r="F182" s="26" t="n">
        <x:v>3336.0500739876466</x:v>
      </x:c>
      <x:c r="G182" s="26" t="n">
        <x:v>143.4501531814688</x:v>
      </x:c>
      <x:c r="H182" s="26" t="n">
        <x:v>7.339310162772823</x:v>
      </x:c>
      <x:c r="I182" s="26" t="n">
        <x:f>F182-G182-H182</x:f>
        <x:v>3185.2606106434046</x:v>
      </x:c>
      <x:c r="J182" s="26" t="n">
        <x:v>431.25</x:v>
      </x:c>
      <x:c r="K182" s="27" t="n">
        <x:v>57.334690991581276</x:v>
      </x:c>
    </x:row>
    <x:row r="183">
      <x:c r="A183" s="22" t="n">
        <x:v>45945</x:v>
      </x:c>
      <x:c r="B183" s="7" t="str">
        <x:v>INV-100182</x:v>
      </x:c>
      <x:c r="C183" s="7" t="str">
        <x:v>Sample Customer F</x:v>
      </x:c>
      <x:c r="D183" s="7" t="str">
        <x:v>FG-016</x:v>
      </x:c>
      <x:c r="E183" s="24" t="n">
        <x:v>120</x:v>
      </x:c>
      <x:c r="F183" s="26" t="n">
        <x:v>3588.758483895272</x:v>
      </x:c>
      <x:c r="G183" s="26" t="n">
        <x:v>154.3166148074967</x:v>
      </x:c>
      <x:c r="H183" s="26" t="n">
        <x:v>7.895268664569599</x:v>
      </x:c>
      <x:c r="I183" s="26" t="n">
        <x:f>F183-G183-H183</x:f>
        <x:v>3426.5466004232057</x:v>
      </x:c>
      <x:c r="J183" s="26" t="n">
        <x:v>607.5</x:v>
      </x:c>
      <x:c r="K183" s="27" t="n">
        <x:v>61.6778388076177</x:v>
      </x:c>
    </x:row>
    <x:row r="184">
      <x:c r="A184" s="22" t="n">
        <x:v>45976</x:v>
      </x:c>
      <x:c r="B184" s="7" t="str">
        <x:v>INV-100183</x:v>
      </x:c>
      <x:c r="C184" s="7" t="str">
        <x:v>Sample Customer B</x:v>
      </x:c>
      <x:c r="D184" s="7" t="str">
        <x:v>FG-016</x:v>
      </x:c>
      <x:c r="E184" s="24" t="n">
        <x:v>130</x:v>
      </x:c>
      <x:c r="F184" s="26" t="n">
        <x:v>4004.4563416131414</x:v>
      </x:c>
      <x:c r="G184" s="26" t="n">
        <x:v>172.1916226893651</x:v>
      </x:c>
      <x:c r="H184" s="26" t="n">
        <x:v>8.809803951548911</x:v>
      </x:c>
      <x:c r="I184" s="26" t="n">
        <x:f>F184-G184-H184</x:f>
        <x:v>3823.4549149722275</x:v>
      </x:c>
      <x:c r="J184" s="26" t="n">
        <x:v>487.5</x:v>
      </x:c>
      <x:c r="K184" s="27" t="n">
        <x:v>68.82218846950009</x:v>
      </x:c>
    </x:row>
    <x:row r="185">
      <x:c r="A185" s="22" t="n">
        <x:v>46006</x:v>
      </x:c>
      <x:c r="B185" s="7" t="str">
        <x:v>INV-100184</x:v>
      </x:c>
      <x:c r="C185" s="7" t="str">
        <x:v>Sample Customer D</x:v>
      </x:c>
      <x:c r="D185" s="7" t="str">
        <x:v>FG-016</x:v>
      </x:c>
      <x:c r="E185" s="24" t="n">
        <x:v>90</x:v>
      </x:c>
      <x:c r="F185" s="26" t="n">
        <x:v>2610.8217970338105</x:v>
      </x:c>
      <x:c r="G185" s="26" t="n">
        <x:v>112.26533727245386</x:v>
      </x:c>
      <x:c r="H185" s="26" t="n">
        <x:v>5.743807953474383</x:v>
      </x:c>
      <x:c r="I185" s="26" t="n">
        <x:f>F185-G185-H185</x:f>
        <x:v>2492.812651807882</x:v>
      </x:c>
      <x:c r="J185" s="26" t="n">
        <x:v>337.5</x:v>
      </x:c>
      <x:c r="K185" s="27" t="n">
        <x:v>44.87062773254188</x:v>
      </x:c>
    </x:row>
    <x:row r="186">
      <x:c r="A186" s="22" t="n">
        <x:v>46037</x:v>
      </x:c>
      <x:c r="B186" s="7" t="str">
        <x:v>INV-100185</x:v>
      </x:c>
      <x:c r="C186" s="7" t="str">
        <x:v>Sample Customer F</x:v>
      </x:c>
      <x:c r="D186" s="7" t="str">
        <x:v>FG-016</x:v>
      </x:c>
      <x:c r="E186" s="24" t="n">
        <x:v>95</x:v>
      </x:c>
      <x:c r="F186" s="26" t="n">
        <x:v>2841.1004664170905</x:v>
      </x:c>
      <x:c r="G186" s="26" t="n">
        <x:v>122.16732005593491</x:v>
      </x:c>
      <x:c r="H186" s="26" t="n">
        <x:v>6.2504210261176</x:v>
      </x:c>
      <x:c r="I186" s="26" t="n">
        <x:f>F186-G186-H186</x:f>
        <x:v>2712.682725335038</x:v>
      </x:c>
      <x:c r="J186" s="26" t="n">
        <x:v>480.93750000000006</x:v>
      </x:c>
      <x:c r="K186" s="27" t="n">
        <x:v>48.82828905603068</x:v>
      </x:c>
    </x:row>
    <x:row r="187">
      <x:c r="A187" s="22" t="n">
        <x:v>46068</x:v>
      </x:c>
      <x:c r="B187" s="7" t="str">
        <x:v>INV-100186</x:v>
      </x:c>
      <x:c r="C187" s="7" t="str">
        <x:v>Sample Customer B</x:v>
      </x:c>
      <x:c r="D187" s="7" t="str">
        <x:v>FG-016</x:v>
      </x:c>
      <x:c r="E187" s="24" t="n">
        <x:v>105</x:v>
      </x:c>
      <x:c r="F187" s="26" t="n">
        <x:v>3234.368583610614</x:v>
      </x:c>
      <x:c r="G187" s="26" t="n">
        <x:v>139.07784909525643</x:v>
      </x:c>
      <x:c r="H187" s="26" t="n">
        <x:v>7.115610883943352</x:v>
      </x:c>
      <x:c r="I187" s="26" t="n">
        <x:f>F187-G187-H187</x:f>
        <x:v>3088.1751236314144</x:v>
      </x:c>
      <x:c r="J187" s="26" t="n">
        <x:v>393.75</x:v>
      </x:c>
      <x:c r="K187" s="27" t="n">
        <x:v>55.58715222536546</x:v>
      </x:c>
    </x:row>
    <x:row r="188">
      <x:c r="A188" s="22" t="n">
        <x:v>46096</x:v>
      </x:c>
      <x:c r="B188" s="7" t="str">
        <x:v>INV-100187</x:v>
      </x:c>
      <x:c r="C188" s="7" t="str">
        <x:v>Sample Customer D</x:v>
      </x:c>
      <x:c r="D188" s="7" t="str">
        <x:v>FG-016</x:v>
      </x:c>
      <x:c r="E188" s="24" t="n">
        <x:v>115</x:v>
      </x:c>
      <x:c r="F188" s="26" t="n">
        <x:v>3336.0500739876466</x:v>
      </x:c>
      <x:c r="G188" s="26" t="n">
        <x:v>143.4501531814688</x:v>
      </x:c>
      <x:c r="H188" s="26" t="n">
        <x:v>32.026080710281406</x:v>
      </x:c>
      <x:c r="I188" s="26" t="n">
        <x:f>F188-G188-H188</x:f>
        <x:v>3160.5738400958962</x:v>
      </x:c>
      <x:c r="J188" s="26" t="n">
        <x:v>431.25</x:v>
      </x:c>
      <x:c r="K188" s="27" t="n">
        <x:v>56.890329121726126</x:v>
      </x:c>
    </x:row>
    <x:row r="189">
      <x:c r="A189" s="22" t="n">
        <x:v>46127</x:v>
      </x:c>
      <x:c r="B189" s="7" t="str">
        <x:v>INV-100188</x:v>
      </x:c>
      <x:c r="C189" s="7" t="str">
        <x:v>Sample Customer F</x:v>
      </x:c>
      <x:c r="D189" s="7" t="str">
        <x:v>FG-016</x:v>
      </x:c>
      <x:c r="E189" s="24" t="n">
        <x:v>120</x:v>
      </x:c>
      <x:c r="F189" s="26" t="n">
        <x:v>3588.758483895272</x:v>
      </x:c>
      <x:c r="G189" s="26" t="n">
        <x:v>154.3166148074967</x:v>
      </x:c>
      <x:c r="H189" s="26" t="n">
        <x:v>7.895268664569599</x:v>
      </x:c>
      <x:c r="I189" s="26" t="n">
        <x:f>F189-G189-H189</x:f>
        <x:v>3426.5466004232057</x:v>
      </x:c>
      <x:c r="J189" s="26" t="n">
        <x:v>607.5</x:v>
      </x:c>
      <x:c r="K189" s="27" t="n">
        <x:v>61.6778388076177</x:v>
      </x:c>
    </x:row>
    <x:row r="190">
      <x:c r="A190" s="22" t="n">
        <x:v>46157</x:v>
      </x:c>
      <x:c r="B190" s="7" t="str">
        <x:v>INV-100189</x:v>
      </x:c>
      <x:c r="C190" s="7" t="str">
        <x:v>Sample Customer B</x:v>
      </x:c>
      <x:c r="D190" s="7" t="str">
        <x:v>FG-016</x:v>
      </x:c>
      <x:c r="E190" s="24" t="n">
        <x:v>130</x:v>
      </x:c>
      <x:c r="F190" s="26" t="n">
        <x:v>4004.4563416131414</x:v>
      </x:c>
      <x:c r="G190" s="26" t="n">
        <x:v>172.1916226893651</x:v>
      </x:c>
      <x:c r="H190" s="26" t="n">
        <x:v>8.809803951548911</x:v>
      </x:c>
      <x:c r="I190" s="26" t="n">
        <x:f>F190-G190-H190</x:f>
        <x:v>3823.4549149722275</x:v>
      </x:c>
      <x:c r="J190" s="26" t="n">
        <x:v>487.5</x:v>
      </x:c>
      <x:c r="K190" s="27" t="n">
        <x:v>68.82218846950009</x:v>
      </x:c>
    </x:row>
    <x:row r="191">
      <x:c r="A191" s="22" t="n">
        <x:v>46188</x:v>
      </x:c>
      <x:c r="B191" s="7" t="str">
        <x:v>INV-100190</x:v>
      </x:c>
      <x:c r="C191" s="7" t="str">
        <x:v>Sample Customer D</x:v>
      </x:c>
      <x:c r="D191" s="7" t="str">
        <x:v>FG-016</x:v>
      </x:c>
      <x:c r="E191" s="24" t="n">
        <x:v>90</x:v>
      </x:c>
      <x:c r="F191" s="26" t="n">
        <x:v>2610.8217970338105</x:v>
      </x:c>
      <x:c r="G191" s="26" t="n">
        <x:v>112.26533727245386</x:v>
      </x:c>
      <x:c r="H191" s="26" t="n">
        <x:v>5.743807953474383</x:v>
      </x:c>
      <x:c r="I191" s="26" t="n">
        <x:f>F191-G191-H191</x:f>
        <x:v>2492.812651807882</x:v>
      </x:c>
      <x:c r="J191" s="26" t="n">
        <x:v>337.5</x:v>
      </x:c>
      <x:c r="K191" s="27" t="n">
        <x:v>44.87062773254188</x:v>
      </x:c>
    </x:row>
    <x:row r="192">
      <x:c r="A192" s="22" t="n">
        <x:v>46218</x:v>
      </x:c>
      <x:c r="B192" s="7" t="str">
        <x:v>INV-100191</x:v>
      </x:c>
      <x:c r="C192" s="7" t="str">
        <x:v>Sample Customer F</x:v>
      </x:c>
      <x:c r="D192" s="7" t="str">
        <x:v>FG-016</x:v>
      </x:c>
      <x:c r="E192" s="24" t="n">
        <x:v>95</x:v>
      </x:c>
      <x:c r="F192" s="26" t="n">
        <x:v>2841.1004664170905</x:v>
      </x:c>
      <x:c r="G192" s="26" t="n">
        <x:v>122.16732005593491</x:v>
      </x:c>
      <x:c r="H192" s="26" t="n">
        <x:v>6.2504210261176</x:v>
      </x:c>
      <x:c r="I192" s="26" t="n">
        <x:f>F192-G192-H192</x:f>
        <x:v>2712.682725335038</x:v>
      </x:c>
      <x:c r="J192" s="26" t="n">
        <x:v>480.93750000000006</x:v>
      </x:c>
      <x:c r="K192" s="27" t="n">
        <x:v>48.82828905603068</x:v>
      </x:c>
    </x:row>
    <x:row r="193">
      <x:c r="A193" s="22" t="n">
        <x:v>46249</x:v>
      </x:c>
      <x:c r="B193" s="7" t="str">
        <x:v>INV-100192</x:v>
      </x:c>
      <x:c r="C193" s="7" t="str">
        <x:v>Sample Customer B</x:v>
      </x:c>
      <x:c r="D193" s="7" t="str">
        <x:v>FG-016</x:v>
      </x:c>
      <x:c r="E193" s="24" t="n">
        <x:v>105</x:v>
      </x:c>
      <x:c r="F193" s="26" t="n">
        <x:v>3234.368583610614</x:v>
      </x:c>
      <x:c r="G193" s="26" t="n">
        <x:v>139.07784909525643</x:v>
      </x:c>
      <x:c r="H193" s="26" t="n">
        <x:v>7.115610883943352</x:v>
      </x:c>
      <x:c r="I193" s="26" t="n">
        <x:f>F193-G193-H193</x:f>
        <x:v>3088.1751236314144</x:v>
      </x:c>
      <x:c r="J193" s="26" t="n">
        <x:v>393.75</x:v>
      </x:c>
      <x:c r="K193" s="27" t="n">
        <x:v>55.58715222536546</x:v>
      </x:c>
    </x:row>
    <x:row r="194">
      <x:c r="A194" s="22" t="n">
        <x:v>45915</x:v>
      </x:c>
      <x:c r="B194" s="7" t="str">
        <x:v>INV-100193</x:v>
      </x:c>
      <x:c r="C194" s="7" t="str">
        <x:v>Sample Customer E</x:v>
      </x:c>
      <x:c r="D194" s="7" t="str">
        <x:v>FG-017</x:v>
      </x:c>
      <x:c r="E194" s="24" t="n">
        <x:v>485</x:v>
      </x:c>
      <x:c r="F194" s="26" t="n">
        <x:v>11085.516470936214</x:v>
      </x:c>
      <x:c r="G194" s="26" t="n">
        <x:v>277.1379117734054</x:v>
      </x:c>
      <x:c r="H194" s="26" t="n">
        <x:v>24.388136236059673</x:v>
      </x:c>
      <x:c r="I194" s="26" t="n">
        <x:f>F194-G194-H194</x:f>
        <x:v>10783.99042292675</x:v>
      </x:c>
      <x:c r="J194" s="26" t="n">
        <x:v>1774.1299999999999</x:v>
      </x:c>
      <x:c r="K194" s="27" t="n">
        <x:v>237.2477893043885</x:v>
      </x:c>
    </x:row>
    <x:row r="195">
      <x:c r="A195" s="22" t="n">
        <x:v>45945</x:v>
      </x:c>
      <x:c r="B195" s="7" t="str">
        <x:v>INV-100194</x:v>
      </x:c>
      <x:c r="C195" s="7" t="str">
        <x:v>Sample Customer A</x:v>
      </x:c>
      <x:c r="D195" s="7" t="str">
        <x:v>FG-017</x:v>
      </x:c>
      <x:c r="E195" s="24" t="n">
        <x:v>520</x:v>
      </x:c>
      <x:c r="F195" s="26" t="n">
        <x:v>12253.09504705459</x:v>
      </x:c>
      <x:c r="G195" s="26" t="n">
        <x:v>306.3273761763648</x:v>
      </x:c>
      <x:c r="H195" s="26" t="n">
        <x:v>26.9568091035201</x:v>
      </x:c>
      <x:c r="I195" s="26" t="n">
        <x:f>F195-G195-H195</x:f>
        <x:v>11919.810861774706</x:v>
      </x:c>
      <x:c r="J195" s="26" t="n">
        <x:v>1612</x:v>
      </x:c>
      <x:c r="K195" s="27" t="n">
        <x:v>262.2358389590435</x:v>
      </x:c>
    </x:row>
    <x:row r="196">
      <x:c r="A196" s="22" t="n">
        <x:v>45976</x:v>
      </x:c>
      <x:c r="B196" s="7" t="str">
        <x:v>INV-100195</x:v>
      </x:c>
      <x:c r="C196" s="7" t="str">
        <x:v>Sample Customer C</x:v>
      </x:c>
      <x:c r="D196" s="7" t="str">
        <x:v>FG-017</x:v>
      </x:c>
      <x:c r="E196" s="24" t="n">
        <x:v>355</x:v>
      </x:c>
      <x:c r="F196" s="26" t="n">
        <x:v>8616.046546068292</x:v>
      </x:c>
      <x:c r="G196" s="26" t="n">
        <x:v>215.4011636517073</x:v>
      </x:c>
      <x:c r="H196" s="26" t="n">
        <x:v>18.95530240135024</x:v>
      </x:c>
      <x:c r="I196" s="26" t="n">
        <x:f>F196-G196-H196</x:f>
        <x:v>8381.690080015234</x:v>
      </x:c>
      <x:c r="J196" s="26" t="n">
        <x:v>1100.5</x:v>
      </x:c>
      <x:c r="K196" s="27" t="n">
        <x:v>184.39718176033514</x:v>
      </x:c>
    </x:row>
    <x:row r="197">
      <x:c r="A197" s="22" t="n">
        <x:v>46006</x:v>
      </x:c>
      <x:c r="B197" s="7" t="str">
        <x:v>INV-100196</x:v>
      </x:c>
      <x:c r="C197" s="7" t="str">
        <x:v>Sample Customer E</x:v>
      </x:c>
      <x:c r="D197" s="7" t="str">
        <x:v>FG-017</x:v>
      </x:c>
      <x:c r="E197" s="24" t="n">
        <x:v>390</x:v>
      </x:c>
      <x:c r="F197" s="26" t="n">
        <x:v>8914.126646732213</x:v>
      </x:c>
      <x:c r="G197" s="26" t="n">
        <x:v>222.85316616830534</x:v>
      </x:c>
      <x:c r="H197" s="26" t="n">
        <x:v>19.61107862281087</x:v>
      </x:c>
      <x:c r="I197" s="26" t="n">
        <x:f>F197-G197-H197</x:f>
        <x:v>8671.662401941097</x:v>
      </x:c>
      <x:c r="J197" s="26" t="n">
        <x:v>1426.62</x:v>
      </x:c>
      <x:c r="K197" s="27" t="n">
        <x:v>190.77657284270413</x:v>
      </x:c>
    </x:row>
    <x:row r="198">
      <x:c r="A198" s="22" t="n">
        <x:v>46037</x:v>
      </x:c>
      <x:c r="B198" s="7" t="str">
        <x:v>INV-100197</x:v>
      </x:c>
      <x:c r="C198" s="7" t="str">
        <x:v>Sample Customer A</x:v>
      </x:c>
      <x:c r="D198" s="7" t="str">
        <x:v>FG-017</x:v>
      </x:c>
      <x:c r="E198" s="24" t="n">
        <x:v>420</x:v>
      </x:c>
      <x:c r="F198" s="26" t="n">
        <x:v>9896.730614928707</x:v>
      </x:c>
      <x:c r="G198" s="26" t="n">
        <x:v>247.41826537321768</x:v>
      </x:c>
      <x:c r="H198" s="26" t="n">
        <x:v>21.772807352843156</x:v>
      </x:c>
      <x:c r="I198" s="26" t="n">
        <x:f>F198-G198-H198</x:f>
        <x:v>9627.539542202647</x:v>
      </x:c>
      <x:c r="J198" s="26" t="n">
        <x:v>1302</x:v>
      </x:c>
      <x:c r="K198" s="27" t="n">
        <x:v>211.8058699284582</x:v>
      </x:c>
    </x:row>
    <x:row r="199">
      <x:c r="A199" s="22" t="n">
        <x:v>46068</x:v>
      </x:c>
      <x:c r="B199" s="7" t="str">
        <x:v>INV-100198</x:v>
      </x:c>
      <x:c r="C199" s="7" t="str">
        <x:v>Sample Customer C</x:v>
      </x:c>
      <x:c r="D199" s="7" t="str">
        <x:v>FG-017</x:v>
      </x:c>
      <x:c r="E199" s="24" t="n">
        <x:v>455</x:v>
      </x:c>
      <x:c r="F199" s="26" t="n">
        <x:v>11043.10191115795</x:v>
      </x:c>
      <x:c r="G199" s="26" t="n">
        <x:v>276.07754777894877</x:v>
      </x:c>
      <x:c r="H199" s="26" t="n">
        <x:v>24.294824204547492</x:v>
      </x:c>
      <x:c r="I199" s="26" t="n">
        <x:f>F199-G199-H199</x:f>
        <x:v>10742.729539174454</x:v>
      </x:c>
      <x:c r="J199" s="26" t="n">
        <x:v>1410.5</x:v>
      </x:c>
      <x:c r="K199" s="27" t="n">
        <x:v>236.34004986183797</x:v>
      </x:c>
    </x:row>
    <x:row r="200">
      <x:c r="A200" s="22" t="n">
        <x:v>46096</x:v>
      </x:c>
      <x:c r="B200" s="7" t="str">
        <x:v>INV-100199</x:v>
      </x:c>
      <x:c r="C200" s="7" t="str">
        <x:v>Sample Customer E</x:v>
      </x:c>
      <x:c r="D200" s="7" t="str">
        <x:v>FG-017</x:v>
      </x:c>
      <x:c r="E200" s="24" t="n">
        <x:v>485</x:v>
      </x:c>
      <x:c r="F200" s="26" t="n">
        <x:v>11085.516470936214</x:v>
      </x:c>
      <x:c r="G200" s="26" t="n">
        <x:v>277.1379117734054</x:v>
      </x:c>
      <x:c r="H200" s="26" t="n">
        <x:v>24.388136236059673</x:v>
      </x:c>
      <x:c r="I200" s="26" t="n">
        <x:f>F200-G200-H200</x:f>
        <x:v>10783.99042292675</x:v>
      </x:c>
      <x:c r="J200" s="26" t="n">
        <x:v>1774.1299999999999</x:v>
      </x:c>
      <x:c r="K200" s="27" t="n">
        <x:v>237.2477893043885</x:v>
      </x:c>
    </x:row>
    <x:row r="201">
      <x:c r="A201" s="22" t="n">
        <x:v>46127</x:v>
      </x:c>
      <x:c r="B201" s="7" t="str">
        <x:v>INV-100200</x:v>
      </x:c>
      <x:c r="C201" s="7" t="str">
        <x:v>Sample Customer A</x:v>
      </x:c>
      <x:c r="D201" s="7" t="str">
        <x:v>FG-017</x:v>
      </x:c>
      <x:c r="E201" s="24" t="n">
        <x:v>520</x:v>
      </x:c>
      <x:c r="F201" s="26" t="n">
        <x:v>12253.09504705459</x:v>
      </x:c>
      <x:c r="G201" s="26" t="n">
        <x:v>306.3273761763648</x:v>
      </x:c>
      <x:c r="H201" s="26" t="n">
        <x:v>26.9568091035201</x:v>
      </x:c>
      <x:c r="I201" s="26" t="n">
        <x:f>F201-G201-H201</x:f>
        <x:v>11919.810861774706</x:v>
      </x:c>
      <x:c r="J201" s="26" t="n">
        <x:v>1612</x:v>
      </x:c>
      <x:c r="K201" s="27" t="n">
        <x:v>262.2358389590435</x:v>
      </x:c>
    </x:row>
    <x:row r="202">
      <x:c r="A202" s="22" t="n">
        <x:v>46157</x:v>
      </x:c>
      <x:c r="B202" s="7" t="str">
        <x:v>INV-100201</x:v>
      </x:c>
      <x:c r="C202" s="7" t="str">
        <x:v>Sample Customer C</x:v>
      </x:c>
      <x:c r="D202" s="7" t="str">
        <x:v>FG-017</x:v>
      </x:c>
      <x:c r="E202" s="24" t="n">
        <x:v>355</x:v>
      </x:c>
      <x:c r="F202" s="26" t="n">
        <x:v>8616.046546068292</x:v>
      </x:c>
      <x:c r="G202" s="26" t="n">
        <x:v>215.4011636517073</x:v>
      </x:c>
      <x:c r="H202" s="26" t="n">
        <x:v>82.7140468422556</x:v>
      </x:c>
      <x:c r="I202" s="26" t="n">
        <x:f>F202-G202-H202</x:f>
        <x:v>8317.931335574329</x:v>
      </x:c>
      <x:c r="J202" s="26" t="n">
        <x:v>1100.5</x:v>
      </x:c>
      <x:c r="K202" s="27" t="n">
        <x:v>182.99448938263524</x:v>
      </x:c>
    </x:row>
    <x:row r="203">
      <x:c r="A203" s="22" t="n">
        <x:v>46188</x:v>
      </x:c>
      <x:c r="B203" s="7" t="str">
        <x:v>INV-100202</x:v>
      </x:c>
      <x:c r="C203" s="7" t="str">
        <x:v>Sample Customer E</x:v>
      </x:c>
      <x:c r="D203" s="7" t="str">
        <x:v>FG-017</x:v>
      </x:c>
      <x:c r="E203" s="24" t="n">
        <x:v>390</x:v>
      </x:c>
      <x:c r="F203" s="26" t="n">
        <x:v>8914.126646732213</x:v>
      </x:c>
      <x:c r="G203" s="26" t="n">
        <x:v>222.85316616830534</x:v>
      </x:c>
      <x:c r="H203" s="26" t="n">
        <x:v>19.61107862281087</x:v>
      </x:c>
      <x:c r="I203" s="26" t="n">
        <x:f>F203-G203-H203</x:f>
        <x:v>8671.662401941097</x:v>
      </x:c>
      <x:c r="J203" s="26" t="n">
        <x:v>1426.62</x:v>
      </x:c>
      <x:c r="K203" s="27" t="n">
        <x:v>190.77657284270413</x:v>
      </x:c>
    </x:row>
    <x:row r="204">
      <x:c r="A204" s="22" t="n">
        <x:v>46218</x:v>
      </x:c>
      <x:c r="B204" s="7" t="str">
        <x:v>INV-100203</x:v>
      </x:c>
      <x:c r="C204" s="7" t="str">
        <x:v>Sample Customer A</x:v>
      </x:c>
      <x:c r="D204" s="7" t="str">
        <x:v>FG-017</x:v>
      </x:c>
      <x:c r="E204" s="24" t="n">
        <x:v>420</x:v>
      </x:c>
      <x:c r="F204" s="26" t="n">
        <x:v>9896.730614928707</x:v>
      </x:c>
      <x:c r="G204" s="26" t="n">
        <x:v>247.41826537321768</x:v>
      </x:c>
      <x:c r="H204" s="26" t="n">
        <x:v>21.772807352843156</x:v>
      </x:c>
      <x:c r="I204" s="26" t="n">
        <x:f>F204-G204-H204</x:f>
        <x:v>9627.539542202647</x:v>
      </x:c>
      <x:c r="J204" s="26" t="n">
        <x:v>1302</x:v>
      </x:c>
      <x:c r="K204" s="27" t="n">
        <x:v>211.8058699284582</x:v>
      </x:c>
    </x:row>
    <x:row r="205">
      <x:c r="A205" s="22" t="n">
        <x:v>46249</x:v>
      </x:c>
      <x:c r="B205" s="7" t="str">
        <x:v>INV-100204</x:v>
      </x:c>
      <x:c r="C205" s="7" t="str">
        <x:v>Sample Customer C</x:v>
      </x:c>
      <x:c r="D205" s="7" t="str">
        <x:v>FG-017</x:v>
      </x:c>
      <x:c r="E205" s="24" t="n">
        <x:v>455</x:v>
      </x:c>
      <x:c r="F205" s="26" t="n">
        <x:v>11043.10191115795</x:v>
      </x:c>
      <x:c r="G205" s="26" t="n">
        <x:v>276.07754777894877</x:v>
      </x:c>
      <x:c r="H205" s="26" t="n">
        <x:v>24.294824204547492</x:v>
      </x:c>
      <x:c r="I205" s="26" t="n">
        <x:f>F205-G205-H205</x:f>
        <x:v>10742.729539174454</x:v>
      </x:c>
      <x:c r="J205" s="26" t="n">
        <x:v>1410.5</x:v>
      </x:c>
      <x:c r="K205" s="27" t="n">
        <x:v>236.34004986183797</x:v>
      </x:c>
    </x:row>
    <x:row r="206">
      <x:c r="A206" s="22" t="n">
        <x:v>45915</x:v>
      </x:c>
      <x:c r="B206" s="7" t="str">
        <x:v>INV-100205</x:v>
      </x:c>
      <x:c r="C206" s="7" t="str">
        <x:v>Sample Customer F</x:v>
      </x:c>
      <x:c r="D206" s="7" t="str">
        <x:v>FG-018</x:v>
      </x:c>
      <x:c r="E206" s="24" t="n">
        <x:v>325</x:v>
      </x:c>
      <x:c r="F206" s="26" t="n">
        <x:v>6037.548499160924</x:v>
      </x:c>
      <x:c r="G206" s="26" t="n">
        <x:v>187.16400347398863</x:v>
      </x:c>
      <x:c r="H206" s="26" t="n">
        <x:v>13.282606698154034</x:v>
      </x:c>
      <x:c r="I206" s="26" t="n">
        <x:f>F206-G206-H206</x:f>
        <x:v>5837.101888988781</x:v>
      </x:c>
      <x:c r="J206" s="26" t="n">
        <x:v>1733.0625000000002</x:v>
      </x:c>
      <x:c r="K206" s="27" t="n">
        <x:v>151.7646491137083</x:v>
      </x:c>
    </x:row>
    <x:row r="207">
      <x:c r="A207" s="22" t="n">
        <x:v>45945</x:v>
      </x:c>
      <x:c r="B207" s="7" t="str">
        <x:v>INV-100206</x:v>
      </x:c>
      <x:c r="C207" s="7" t="str">
        <x:v>Sample Customer B</x:v>
      </x:c>
      <x:c r="D207" s="7" t="str">
        <x:v>FG-018</x:v>
      </x:c>
      <x:c r="E207" s="24" t="n">
        <x:v>225</x:v>
      </x:c>
      <x:c r="F207" s="26" t="n">
        <x:v>4309.11470994832</x:v>
      </x:c>
      <x:c r="G207" s="26" t="n">
        <x:v>133.58255600839792</x:v>
      </x:c>
      <x:c r="H207" s="26" t="n">
        <x:v>9.480052361886303</x:v>
      </x:c>
      <x:c r="I207" s="26" t="n">
        <x:f>F207-G207-H207</x:f>
        <x:v>4166.052101578036</x:v>
      </x:c>
      <x:c r="J207" s="26" t="n">
        <x:v>888.75</x:v>
      </x:c>
      <x:c r="K207" s="27" t="n">
        <x:v>108.31735464102893</x:v>
      </x:c>
    </x:row>
    <x:row r="208">
      <x:c r="A208" s="22" t="n">
        <x:v>45976</x:v>
      </x:c>
      <x:c r="B208" s="7" t="str">
        <x:v>INV-100207</x:v>
      </x:c>
      <x:c r="C208" s="7" t="str">
        <x:v>Sample Customer D</x:v>
      </x:c>
      <x:c r="D208" s="7" t="str">
        <x:v>FG-018</x:v>
      </x:c>
      <x:c r="E208" s="24" t="n">
        <x:v>245</x:v>
      </x:c>
      <x:c r="F208" s="26" t="n">
        <x:v>4832.911542468704</x:v>
      </x:c>
      <x:c r="G208" s="26" t="n">
        <x:v>149.82025781652982</x:v>
      </x:c>
      <x:c r="H208" s="26" t="n">
        <x:v>10.63240539343115</x:v>
      </x:c>
      <x:c r="I208" s="26" t="n">
        <x:f>F208-G208-H208</x:f>
        <x:v>4672.458879258743</x:v>
      </x:c>
      <x:c r="J208" s="26" t="n">
        <x:v>967.75</x:v>
      </x:c>
      <x:c r="K208" s="27" t="n">
        <x:v>121.48393086072731</x:v>
      </x:c>
    </x:row>
    <x:row r="209">
      <x:c r="A209" s="22" t="n">
        <x:v>46006</x:v>
      </x:c>
      <x:c r="B209" s="7" t="str">
        <x:v>INV-100208</x:v>
      </x:c>
      <x:c r="C209" s="7" t="str">
        <x:v>Sample Customer F</x:v>
      </x:c>
      <x:c r="D209" s="7" t="str">
        <x:v>FG-018</x:v>
      </x:c>
      <x:c r="E209" s="24" t="n">
        <x:v>265</x:v>
      </x:c>
      <x:c r="F209" s="26" t="n">
        <x:v>4922.924160854292</x:v>
      </x:c>
      <x:c r="G209" s="26" t="n">
        <x:v>152.61064898648303</x:v>
      </x:c>
      <x:c r="H209" s="26" t="n">
        <x:v>10.830433153879442</x:v>
      </x:c>
      <x:c r="I209" s="26" t="n">
        <x:f>F209-G209-H209</x:f>
        <x:v>4759.483078713929</x:v>
      </x:c>
      <x:c r="J209" s="26" t="n">
        <x:v>1413.1125000000002</x:v>
      </x:c>
      <x:c r="K209" s="27" t="n">
        <x:v>123.74656004656215</x:v>
      </x:c>
    </x:row>
    <x:row r="210">
      <x:c r="A210" s="22" t="n">
        <x:v>46037</x:v>
      </x:c>
      <x:c r="B210" s="7" t="str">
        <x:v>INV-100209</x:v>
      </x:c>
      <x:c r="C210" s="7" t="str">
        <x:v>Sample Customer B</x:v>
      </x:c>
      <x:c r="D210" s="7" t="str">
        <x:v>FG-018</x:v>
      </x:c>
      <x:c r="E210" s="24" t="n">
        <x:v>285</x:v>
      </x:c>
      <x:c r="F210" s="26" t="n">
        <x:v>5458.211965934538</x:v>
      </x:c>
      <x:c r="G210" s="26" t="n">
        <x:v>169.20457094397068</x:v>
      </x:c>
      <x:c r="H210" s="26" t="n">
        <x:v>12.008066325055985</x:v>
      </x:c>
      <x:c r="I210" s="26" t="n">
        <x:f>F210-G210-H210</x:f>
        <x:v>5276.999328665512</x:v>
      </x:c>
      <x:c r="J210" s="26" t="n">
        <x:v>1125.75</x:v>
      </x:c>
      <x:c r="K210" s="27" t="n">
        <x:v>137.2019825453033</x:v>
      </x:c>
    </x:row>
    <x:row r="211">
      <x:c r="A211" s="22" t="n">
        <x:v>46068</x:v>
      </x:c>
      <x:c r="B211" s="7" t="str">
        <x:v>INV-100210</x:v>
      </x:c>
      <x:c r="C211" s="7" t="str">
        <x:v>Sample Customer D</x:v>
      </x:c>
      <x:c r="D211" s="7" t="str">
        <x:v>FG-018</x:v>
      </x:c>
      <x:c r="E211" s="24" t="n">
        <x:v>305</x:v>
      </x:c>
      <x:c r="F211" s="26" t="n">
        <x:v>6016.481716134509</x:v>
      </x:c>
      <x:c r="G211" s="26" t="n">
        <x:v>186.51093320016977</x:v>
      </x:c>
      <x:c r="H211" s="26" t="n">
        <x:v>13.23625977549592</x:v>
      </x:c>
      <x:c r="I211" s="26" t="n">
        <x:f>F211-G211-H211</x:f>
        <x:v>5816.734523158843</x:v>
      </x:c>
      <x:c r="J211" s="26" t="n">
        <x:v>1204.75</x:v>
      </x:c>
      <x:c r="K211" s="27" t="n">
        <x:v>151.2350976021299</x:v>
      </x:c>
    </x:row>
    <x:row r="212">
      <x:c r="A212" s="22" t="n">
        <x:v>46096</x:v>
      </x:c>
      <x:c r="B212" s="7" t="str">
        <x:v>INV-100211</x:v>
      </x:c>
      <x:c r="C212" s="7" t="str">
        <x:v>Sample Customer F</x:v>
      </x:c>
      <x:c r="D212" s="7" t="str">
        <x:v>FG-018</x:v>
      </x:c>
      <x:c r="E212" s="24" t="n">
        <x:v>325</x:v>
      </x:c>
      <x:c r="F212" s="26" t="n">
        <x:v>6037.548499160924</x:v>
      </x:c>
      <x:c r="G212" s="26" t="n">
        <x:v>187.16400347398863</x:v>
      </x:c>
      <x:c r="H212" s="26" t="n">
        <x:v>13.282606698154034</x:v>
      </x:c>
      <x:c r="I212" s="26" t="n">
        <x:f>F212-G212-H212</x:f>
        <x:v>5837.101888988781</x:v>
      </x:c>
      <x:c r="J212" s="26" t="n">
        <x:v>1733.0625000000002</x:v>
      </x:c>
      <x:c r="K212" s="27" t="n">
        <x:v>151.7646491137083</x:v>
      </x:c>
    </x:row>
    <x:row r="213">
      <x:c r="A213" s="22" t="n">
        <x:v>46127</x:v>
      </x:c>
      <x:c r="B213" s="7" t="str">
        <x:v>INV-100212</x:v>
      </x:c>
      <x:c r="C213" s="7" t="str">
        <x:v>Sample Customer B</x:v>
      </x:c>
      <x:c r="D213" s="7" t="str">
        <x:v>FG-018</x:v>
      </x:c>
      <x:c r="E213" s="24" t="n">
        <x:v>225</x:v>
      </x:c>
      <x:c r="F213" s="26" t="n">
        <x:v>4309.11470994832</x:v>
      </x:c>
      <x:c r="G213" s="26" t="n">
        <x:v>133.58255600839792</x:v>
      </x:c>
      <x:c r="H213" s="26" t="n">
        <x:v>9.480052361886303</x:v>
      </x:c>
      <x:c r="I213" s="26" t="n">
        <x:f>F213-G213-H213</x:f>
        <x:v>4166.052101578036</x:v>
      </x:c>
      <x:c r="J213" s="26" t="n">
        <x:v>888.75</x:v>
      </x:c>
      <x:c r="K213" s="27" t="n">
        <x:v>108.31735464102893</x:v>
      </x:c>
    </x:row>
    <x:row r="214">
      <x:c r="A214" s="22" t="n">
        <x:v>46157</x:v>
      </x:c>
      <x:c r="B214" s="7" t="str">
        <x:v>INV-100213</x:v>
      </x:c>
      <x:c r="C214" s="7" t="str">
        <x:v>Sample Customer D</x:v>
      </x:c>
      <x:c r="D214" s="7" t="str">
        <x:v>FG-018</x:v>
      </x:c>
      <x:c r="E214" s="24" t="n">
        <x:v>245</x:v>
      </x:c>
      <x:c r="F214" s="26" t="n">
        <x:v>4832.911542468704</x:v>
      </x:c>
      <x:c r="G214" s="26" t="n">
        <x:v>149.82025781652982</x:v>
      </x:c>
      <x:c r="H214" s="26" t="n">
        <x:v>10.63240539343115</x:v>
      </x:c>
      <x:c r="I214" s="26" t="n">
        <x:f>F214-G214-H214</x:f>
        <x:v>4672.458879258743</x:v>
      </x:c>
      <x:c r="J214" s="26" t="n">
        <x:v>967.75</x:v>
      </x:c>
      <x:c r="K214" s="27" t="n">
        <x:v>121.48393086072731</x:v>
      </x:c>
    </x:row>
    <x:row r="215">
      <x:c r="A215" s="22" t="n">
        <x:v>46188</x:v>
      </x:c>
      <x:c r="B215" s="7" t="str">
        <x:v>INV-100214</x:v>
      </x:c>
      <x:c r="C215" s="7" t="str">
        <x:v>Sample Customer F</x:v>
      </x:c>
      <x:c r="D215" s="7" t="str">
        <x:v>FG-018</x:v>
      </x:c>
      <x:c r="E215" s="24" t="n">
        <x:v>265</x:v>
      </x:c>
      <x:c r="F215" s="26" t="n">
        <x:v>4922.924160854292</x:v>
      </x:c>
      <x:c r="G215" s="26" t="n">
        <x:v>152.61064898648303</x:v>
      </x:c>
      <x:c r="H215" s="26" t="n">
        <x:v>10.830433153879442</x:v>
      </x:c>
      <x:c r="I215" s="26" t="n">
        <x:f>F215-G215-H215</x:f>
        <x:v>4759.483078713929</x:v>
      </x:c>
      <x:c r="J215" s="26" t="n">
        <x:v>1413.1125000000002</x:v>
      </x:c>
      <x:c r="K215" s="27" t="n">
        <x:v>123.74656004656215</x:v>
      </x:c>
    </x:row>
    <x:row r="216">
      <x:c r="A216" s="22" t="n">
        <x:v>46218</x:v>
      </x:c>
      <x:c r="B216" s="7" t="str">
        <x:v>INV-100215</x:v>
      </x:c>
      <x:c r="C216" s="7" t="str">
        <x:v>Sample Customer B</x:v>
      </x:c>
      <x:c r="D216" s="7" t="str">
        <x:v>FG-018</x:v>
      </x:c>
      <x:c r="E216" s="24" t="n">
        <x:v>285</x:v>
      </x:c>
      <x:c r="F216" s="26" t="n">
        <x:v>5458.211965934538</x:v>
      </x:c>
      <x:c r="G216" s="26" t="n">
        <x:v>169.20457094397068</x:v>
      </x:c>
      <x:c r="H216" s="26" t="n">
        <x:v>52.39883487297156</x:v>
      </x:c>
      <x:c r="I216" s="26" t="n">
        <x:f>F216-G216-H216</x:f>
        <x:v>5236.6085601175955</x:v>
      </x:c>
      <x:c r="J216" s="26" t="n">
        <x:v>1125.75</x:v>
      </x:c>
      <x:c r="K216" s="27" t="n">
        <x:v>136.15182256305746</x:v>
      </x:c>
    </x:row>
    <x:row r="217">
      <x:c r="A217" s="22" t="n">
        <x:v>46249</x:v>
      </x:c>
      <x:c r="B217" s="7" t="str">
        <x:v>INV-100216</x:v>
      </x:c>
      <x:c r="C217" s="7" t="str">
        <x:v>Sample Customer D</x:v>
      </x:c>
      <x:c r="D217" s="7" t="str">
        <x:v>FG-018</x:v>
      </x:c>
      <x:c r="E217" s="24" t="n">
        <x:v>305</x:v>
      </x:c>
      <x:c r="F217" s="26" t="n">
        <x:v>6016.481716134509</x:v>
      </x:c>
      <x:c r="G217" s="26" t="n">
        <x:v>186.51093320016977</x:v>
      </x:c>
      <x:c r="H217" s="26" t="n">
        <x:v>13.23625977549592</x:v>
      </x:c>
      <x:c r="I217" s="26" t="n">
        <x:f>F217-G217-H217</x:f>
        <x:v>5816.734523158843</x:v>
      </x:c>
      <x:c r="J217" s="26" t="n">
        <x:v>1204.75</x:v>
      </x:c>
      <x:c r="K217" s="27" t="n">
        <x:v>151.2350976021299</x:v>
      </x:c>
    </x:row>
    <x:row r="218">
      <x:c r="A218" s="22" t="n">
        <x:v>45915</x:v>
      </x:c>
      <x:c r="B218" s="7" t="str">
        <x:v>INV-100217</x:v>
      </x:c>
      <x:c r="C218" s="7" t="str">
        <x:v>Sample Customer A</x:v>
      </x:c>
      <x:c r="D218" s="7" t="str">
        <x:v>FG-019</x:v>
      </x:c>
      <x:c r="E218" s="24" t="n">
        <x:v>125</x:v>
      </x:c>
      <x:c r="F218" s="26" t="n">
        <x:v>2276.4458191485633</x:v>
      </x:c>
      <x:c r="G218" s="26" t="n">
        <x:v>84.22849530849685</x:v>
      </x:c>
      <x:c r="H218" s="26" t="n">
        <x:v>65.56163959147862</x:v>
      </x:c>
      <x:c r="I218" s="26" t="n">
        <x:f>F218-G218-H218</x:f>
        <x:v>2126.655684248588</x:v>
      </x:c>
      <x:c r="J218" s="26" t="n">
        <x:v>600</x:v>
      </x:c>
      <x:c r="K218" s="27" t="n">
        <x:v>38.27980231647458</x:v>
      </x:c>
    </x:row>
    <x:row r="219">
      <x:c r="A219" s="22" t="n">
        <x:v>45945</x:v>
      </x:c>
      <x:c r="B219" s="7" t="str">
        <x:v>INV-100218</x:v>
      </x:c>
      <x:c r="C219" s="7" t="str">
        <x:v>Sample Customer C</x:v>
      </x:c>
      <x:c r="D219" s="7" t="str">
        <x:v>FG-019</x:v>
      </x:c>
      <x:c r="E219" s="24" t="n">
        <x:v>140</x:v>
      </x:c>
      <x:c r="F219" s="26" t="n">
        <x:v>2628.4735231406094</x:v>
      </x:c>
      <x:c r="G219" s="26" t="n">
        <x:v>97.25352035620256</x:v>
      </x:c>
      <x:c r="H219" s="26" t="n">
        <x:v>17.347925252728025</x:v>
      </x:c>
      <x:c r="I219" s="26" t="n">
        <x:f>F219-G219-H219</x:f>
        <x:v>2513.8720775316788</x:v>
      </x:c>
      <x:c r="J219" s="26" t="n">
        <x:v>672</x:v>
      </x:c>
      <x:c r="K219" s="27" t="n">
        <x:v>45.249697395570216</x:v>
      </x:c>
    </x:row>
    <x:row r="220">
      <x:c r="A220" s="22" t="n">
        <x:v>45976</x:v>
      </x:c>
      <x:c r="B220" s="7" t="str">
        <x:v>INV-100219</x:v>
      </x:c>
      <x:c r="C220" s="7" t="str">
        <x:v>Sample Customer E</x:v>
      </x:c>
      <x:c r="D220" s="7" t="str">
        <x:v>FG-019</x:v>
      </x:c>
      <x:c r="E220" s="24" t="n">
        <x:v>150</x:v>
      </x:c>
      <x:c r="F220" s="26" t="n">
        <x:v>2900.7082808944583</x:v>
      </x:c>
      <x:c r="G220" s="26" t="n">
        <x:v>107.32620639309498</x:v>
      </x:c>
      <x:c r="H220" s="26" t="n">
        <x:v>19.144674653903426</x:v>
      </x:c>
      <x:c r="I220" s="26" t="n">
        <x:f>F220-G220-H220</x:f>
        <x:v>2774.2373998474595</x:v>
      </x:c>
      <x:c r="J220" s="26" t="n">
        <x:v>849.5999999999999</x:v>
      </x:c>
      <x:c r="K220" s="27" t="n">
        <x:v>49.936273197254266</x:v>
      </x:c>
    </x:row>
    <x:row r="221">
      <x:c r="A221" s="22" t="n">
        <x:v>46006</x:v>
      </x:c>
      <x:c r="B221" s="7" t="str">
        <x:v>INV-100220</x:v>
      </x:c>
      <x:c r="C221" s="7" t="str">
        <x:v>Sample Customer A</x:v>
      </x:c>
      <x:c r="D221" s="7" t="str">
        <x:v>FG-019</x:v>
      </x:c>
      <x:c r="E221" s="24" t="n">
        <x:v>160</x:v>
      </x:c>
      <x:c r="F221" s="26" t="n">
        <x:v>2913.850648510161</x:v>
      </x:c>
      <x:c r="G221" s="26" t="n">
        <x:v>107.81247399487597</x:v>
      </x:c>
      <x:c r="H221" s="26" t="n">
        <x:v>19.231414280167066</x:v>
      </x:c>
      <x:c r="I221" s="26" t="n">
        <x:f>F221-G221-H221</x:f>
        <x:v>2786.8067602351184</x:v>
      </x:c>
      <x:c r="J221" s="26" t="n">
        <x:v>768</x:v>
      </x:c>
      <x:c r="K221" s="27" t="n">
        <x:v>50.162521684232125</x:v>
      </x:c>
    </x:row>
    <x:row r="222">
      <x:c r="A222" s="22" t="n">
        <x:v>46037</x:v>
      </x:c>
      <x:c r="B222" s="7" t="str">
        <x:v>INV-100221</x:v>
      </x:c>
      <x:c r="C222" s="7" t="str">
        <x:v>Sample Customer C</x:v>
      </x:c>
      <x:c r="D222" s="7" t="str">
        <x:v>FG-019</x:v>
      </x:c>
      <x:c r="E222" s="24" t="n">
        <x:v>175</x:v>
      </x:c>
      <x:c r="F222" s="26" t="n">
        <x:v>3285.591903925762</x:v>
      </x:c>
      <x:c r="G222" s="26" t="n">
        <x:v>121.56690044525321</x:v>
      </x:c>
      <x:c r="H222" s="26" t="n">
        <x:v>21.68490656591003</x:v>
      </x:c>
      <x:c r="I222" s="26" t="n">
        <x:f>F222-G222-H222</x:f>
        <x:v>3142.3400969145987</x:v>
      </x:c>
      <x:c r="J222" s="26" t="n">
        <x:v>840</x:v>
      </x:c>
      <x:c r="K222" s="27" t="n">
        <x:v>56.56212174446277</x:v>
      </x:c>
    </x:row>
    <x:row r="223">
      <x:c r="A223" s="22" t="n">
        <x:v>46068</x:v>
      </x:c>
      <x:c r="B223" s="7" t="str">
        <x:v>INV-100222</x:v>
      </x:c>
      <x:c r="C223" s="7" t="str">
        <x:v>Sample Customer E</x:v>
      </x:c>
      <x:c r="D223" s="7" t="str">
        <x:v>FG-019</x:v>
      </x:c>
      <x:c r="E223" s="24" t="n">
        <x:v>185</x:v>
      </x:c>
      <x:c r="F223" s="26" t="n">
        <x:v>3577.540213103165</x:v>
      </x:c>
      <x:c r="G223" s="26" t="n">
        <x:v>132.36898788481713</x:v>
      </x:c>
      <x:c r="H223" s="26" t="n">
        <x:v>23.61176540648089</x:v>
      </x:c>
      <x:c r="I223" s="26" t="n">
        <x:f>F223-G223-H223</x:f>
        <x:v>3421.559459811867</x:v>
      </x:c>
      <x:c r="J223" s="26" t="n">
        <x:v>1047.84</x:v>
      </x:c>
      <x:c r="K223" s="27" t="n">
        <x:v>61.5880702766136</x:v>
      </x:c>
    </x:row>
    <x:row r="224">
      <x:c r="A224" s="22" t="n">
        <x:v>46096</x:v>
      </x:c>
      <x:c r="B224" s="7" t="str">
        <x:v>INV-100223</x:v>
      </x:c>
      <x:c r="C224" s="7" t="str">
        <x:v>Sample Customer A</x:v>
      </x:c>
      <x:c r="D224" s="7" t="str">
        <x:v>FG-019</x:v>
      </x:c>
      <x:c r="E224" s="24" t="n">
        <x:v>125</x:v>
      </x:c>
      <x:c r="F224" s="26" t="n">
        <x:v>2276.4458191485633</x:v>
      </x:c>
      <x:c r="G224" s="26" t="n">
        <x:v>84.22849530849685</x:v>
      </x:c>
      <x:c r="H224" s="26" t="n">
        <x:v>15.024542406380519</x:v>
      </x:c>
      <x:c r="I224" s="26" t="n">
        <x:f>F224-G224-H224</x:f>
        <x:v>2177.192781433686</x:v>
      </x:c>
      <x:c r="J224" s="26" t="n">
        <x:v>600</x:v>
      </x:c>
      <x:c r="K224" s="27" t="n">
        <x:v>39.18947006580635</x:v>
      </x:c>
    </x:row>
    <x:row r="225">
      <x:c r="A225" s="22" t="n">
        <x:v>46127</x:v>
      </x:c>
      <x:c r="B225" s="7" t="str">
        <x:v>INV-100224</x:v>
      </x:c>
      <x:c r="C225" s="7" t="str">
        <x:v>Sample Customer C</x:v>
      </x:c>
      <x:c r="D225" s="7" t="str">
        <x:v>FG-019</x:v>
      </x:c>
      <x:c r="E225" s="24" t="n">
        <x:v>140</x:v>
      </x:c>
      <x:c r="F225" s="26" t="n">
        <x:v>2628.4735231406094</x:v>
      </x:c>
      <x:c r="G225" s="26" t="n">
        <x:v>97.25352035620256</x:v>
      </x:c>
      <x:c r="H225" s="26" t="n">
        <x:v>17.347925252728025</x:v>
      </x:c>
      <x:c r="I225" s="26" t="n">
        <x:f>F225-G225-H225</x:f>
        <x:v>2513.8720775316788</x:v>
      </x:c>
      <x:c r="J225" s="26" t="n">
        <x:v>672</x:v>
      </x:c>
      <x:c r="K225" s="27" t="n">
        <x:v>45.249697395570216</x:v>
      </x:c>
    </x:row>
    <x:row r="226">
      <x:c r="A226" s="22" t="n">
        <x:v>46157</x:v>
      </x:c>
      <x:c r="B226" s="7" t="str">
        <x:v>INV-100225</x:v>
      </x:c>
      <x:c r="C226" s="7" t="str">
        <x:v>Sample Customer E</x:v>
      </x:c>
      <x:c r="D226" s="7" t="str">
        <x:v>FG-019</x:v>
      </x:c>
      <x:c r="E226" s="24" t="n">
        <x:v>150</x:v>
      </x:c>
      <x:c r="F226" s="26" t="n">
        <x:v>2900.7082808944583</x:v>
      </x:c>
      <x:c r="G226" s="26" t="n">
        <x:v>107.32620639309498</x:v>
      </x:c>
      <x:c r="H226" s="26" t="n">
        <x:v>19.144674653903426</x:v>
      </x:c>
      <x:c r="I226" s="26" t="n">
        <x:f>F226-G226-H226</x:f>
        <x:v>2774.2373998474595</x:v>
      </x:c>
      <x:c r="J226" s="26" t="n">
        <x:v>849.5999999999999</x:v>
      </x:c>
      <x:c r="K226" s="27" t="n">
        <x:v>49.936273197254266</x:v>
      </x:c>
    </x:row>
    <x:row r="227">
      <x:c r="A227" s="22" t="n">
        <x:v>46188</x:v>
      </x:c>
      <x:c r="B227" s="7" t="str">
        <x:v>INV-100226</x:v>
      </x:c>
      <x:c r="C227" s="7" t="str">
        <x:v>Sample Customer A</x:v>
      </x:c>
      <x:c r="D227" s="7" t="str">
        <x:v>FG-019</x:v>
      </x:c>
      <x:c r="E227" s="24" t="n">
        <x:v>160</x:v>
      </x:c>
      <x:c r="F227" s="26" t="n">
        <x:v>2913.850648510161</x:v>
      </x:c>
      <x:c r="G227" s="26" t="n">
        <x:v>107.81247399487597</x:v>
      </x:c>
      <x:c r="H227" s="26" t="n">
        <x:v>19.231414280167066</x:v>
      </x:c>
      <x:c r="I227" s="26" t="n">
        <x:f>F227-G227-H227</x:f>
        <x:v>2786.8067602351184</x:v>
      </x:c>
      <x:c r="J227" s="26" t="n">
        <x:v>768</x:v>
      </x:c>
      <x:c r="K227" s="27" t="n">
        <x:v>50.162521684232125</x:v>
      </x:c>
    </x:row>
    <x:row r="228">
      <x:c r="A228" s="22" t="n">
        <x:v>46218</x:v>
      </x:c>
      <x:c r="B228" s="7" t="str">
        <x:v>INV-100227</x:v>
      </x:c>
      <x:c r="C228" s="7" t="str">
        <x:v>Sample Customer C</x:v>
      </x:c>
      <x:c r="D228" s="7" t="str">
        <x:v>FG-019</x:v>
      </x:c>
      <x:c r="E228" s="24" t="n">
        <x:v>175</x:v>
      </x:c>
      <x:c r="F228" s="26" t="n">
        <x:v>3285.591903925762</x:v>
      </x:c>
      <x:c r="G228" s="26" t="n">
        <x:v>121.56690044525321</x:v>
      </x:c>
      <x:c r="H228" s="26" t="n">
        <x:v>21.68490656591003</x:v>
      </x:c>
      <x:c r="I228" s="26" t="n">
        <x:f>F228-G228-H228</x:f>
        <x:v>3142.3400969145987</x:v>
      </x:c>
      <x:c r="J228" s="26" t="n">
        <x:v>840</x:v>
      </x:c>
      <x:c r="K228" s="27" t="n">
        <x:v>56.56212174446277</x:v>
      </x:c>
    </x:row>
    <x:row r="229">
      <x:c r="A229" s="22" t="n">
        <x:v>46249</x:v>
      </x:c>
      <x:c r="B229" s="7" t="str">
        <x:v>INV-100228</x:v>
      </x:c>
      <x:c r="C229" s="7" t="str">
        <x:v>Sample Customer E</x:v>
      </x:c>
      <x:c r="D229" s="7" t="str">
        <x:v>FG-019</x:v>
      </x:c>
      <x:c r="E229" s="24" t="n">
        <x:v>185</x:v>
      </x:c>
      <x:c r="F229" s="26" t="n">
        <x:v>3577.540213103165</x:v>
      </x:c>
      <x:c r="G229" s="26" t="n">
        <x:v>132.36898788481713</x:v>
      </x:c>
      <x:c r="H229" s="26" t="n">
        <x:v>23.61176540648089</x:v>
      </x:c>
      <x:c r="I229" s="26" t="n">
        <x:f>F229-G229-H229</x:f>
        <x:v>3421.559459811867</x:v>
      </x:c>
      <x:c r="J229" s="26" t="n">
        <x:v>1047.84</x:v>
      </x:c>
      <x:c r="K229" s="27" t="n">
        <x:v>61.5880702766136</x:v>
      </x:c>
    </x:row>
    <x:row r="230">
      <x:c r="A230" s="22" t="n">
        <x:v>45915</x:v>
      </x:c>
      <x:c r="B230" s="7" t="str">
        <x:v>INV-100229</x:v>
      </x:c>
      <x:c r="C230" s="7" t="str">
        <x:v>Sample Customer B</x:v>
      </x:c>
      <x:c r="D230" s="7" t="str">
        <x:v>FG-020</x:v>
      </x:c>
      <x:c r="E230" s="24" t="n">
        <x:v>80</x:v>
      </x:c>
      <x:c r="F230" s="26" t="n">
        <x:v>3238.7359130862787</x:v>
      </x:c>
      <x:c r="G230" s="26" t="n">
        <x:v>139.26564426271</x:v>
      </x:c>
      <x:c r="H230" s="26" t="n">
        <x:v>7.125219008789814</x:v>
      </x:c>
      <x:c r="I230" s="26" t="n">
        <x:f>F230-G230-H230</x:f>
        <x:v>3092.345049814779</x:v>
      </x:c>
      <x:c r="J230" s="26" t="n">
        <x:v>452</x:v>
      </x:c>
      <x:c r="K230" s="27" t="n">
        <x:v>68.03159109592514</x:v>
      </x:c>
    </x:row>
    <x:row r="231">
      <x:c r="A231" s="22" t="n">
        <x:v>45945</x:v>
      </x:c>
      <x:c r="B231" s="7" t="str">
        <x:v>INV-100230</x:v>
      </x:c>
      <x:c r="C231" s="7" t="str">
        <x:v>Sample Customer D</x:v>
      </x:c>
      <x:c r="D231" s="7" t="str">
        <x:v>FG-020</x:v>
      </x:c>
      <x:c r="E231" s="24" t="n">
        <x:v>90</x:v>
      </x:c>
      <x:c r="F231" s="26" t="n">
        <x:v>3756.265878579447</x:v>
      </x:c>
      <x:c r="G231" s="26" t="n">
        <x:v>161.51943277891624</x:v>
      </x:c>
      <x:c r="H231" s="26" t="n">
        <x:v>8.263784932874783</x:v>
      </x:c>
      <x:c r="I231" s="26" t="n">
        <x:f>F231-G231-H231</x:f>
        <x:v>3586.482660867656</x:v>
      </x:c>
      <x:c r="J231" s="26" t="n">
        <x:v>508.50000000000006</x:v>
      </x:c>
      <x:c r="K231" s="27" t="n">
        <x:v>78.90261853908842</x:v>
      </x:c>
    </x:row>
    <x:row r="232">
      <x:c r="A232" s="22" t="n">
        <x:v>45976</x:v>
      </x:c>
      <x:c r="B232" s="7" t="str">
        <x:v>INV-100231</x:v>
      </x:c>
      <x:c r="C232" s="7" t="str">
        <x:v>Sample Customer F</x:v>
      </x:c>
      <x:c r="D232" s="7" t="str">
        <x:v>FG-020</x:v>
      </x:c>
      <x:c r="E232" s="24" t="n">
        <x:v>95</x:v>
      </x:c>
      <x:c r="F232" s="26" t="n">
        <x:v>4083.8957357666545</x:v>
      </x:c>
      <x:c r="G232" s="26" t="n">
        <x:v>175.60751663796617</x:v>
      </x:c>
      <x:c r="H232" s="26" t="n">
        <x:v>39.20539906335988</x:v>
      </x:c>
      <x:c r="I232" s="26" t="n">
        <x:f>F232-G232-H232</x:f>
        <x:v>3869.0828200653286</x:v>
      </x:c>
      <x:c r="J232" s="26" t="n">
        <x:v>724.6125000000001</x:v>
      </x:c>
      <x:c r="K232" s="27" t="n">
        <x:v>85.11982204143723</x:v>
      </x:c>
    </x:row>
    <x:row r="233">
      <x:c r="A233" s="22" t="n">
        <x:v>46006</x:v>
      </x:c>
      <x:c r="B233" s="7" t="str">
        <x:v>INV-100232</x:v>
      </x:c>
      <x:c r="C233" s="7" t="str">
        <x:v>Sample Customer B</x:v>
      </x:c>
      <x:c r="D233" s="7" t="str">
        <x:v>FG-020</x:v>
      </x:c>
      <x:c r="E233" s="24" t="n">
        <x:v>105</x:v>
      </x:c>
      <x:c r="F233" s="26" t="n">
        <x:v>4250.840885925741</x:v>
      </x:c>
      <x:c r="G233" s="26" t="n">
        <x:v>182.78615809480686</x:v>
      </x:c>
      <x:c r="H233" s="26" t="n">
        <x:v>9.35184994903663</x:v>
      </x:c>
      <x:c r="I233" s="26" t="n">
        <x:f>F233-G233-H233</x:f>
        <x:v>4058.702877881897</x:v>
      </x:c>
      <x:c r="J233" s="26" t="n">
        <x:v>593.25</x:v>
      </x:c>
      <x:c r="K233" s="27" t="n">
        <x:v>89.29146331340174</x:v>
      </x:c>
    </x:row>
    <x:row r="234">
      <x:c r="A234" s="22" t="n">
        <x:v>46037</x:v>
      </x:c>
      <x:c r="B234" s="7" t="str">
        <x:v>INV-100233</x:v>
      </x:c>
      <x:c r="C234" s="7" t="str">
        <x:v>Sample Customer D</x:v>
      </x:c>
      <x:c r="D234" s="7" t="str">
        <x:v>FG-020</x:v>
      </x:c>
      <x:c r="E234" s="24" t="n">
        <x:v>110</x:v>
      </x:c>
      <x:c r="F234" s="26" t="n">
        <x:v>4590.991629374879</x:v>
      </x:c>
      <x:c r="G234" s="26" t="n">
        <x:v>197.41264006311982</x:v>
      </x:c>
      <x:c r="H234" s="26" t="n">
        <x:v>10.100181584624735</x:v>
      </x:c>
      <x:c r="I234" s="26" t="n">
        <x:f>F234-G234-H234</x:f>
        <x:v>4383.478807727135</x:v>
      </x:c>
      <x:c r="J234" s="26" t="n">
        <x:v>621.5</x:v>
      </x:c>
      <x:c r="K234" s="27" t="n">
        <x:v>96.43653376999697</x:v>
      </x:c>
    </x:row>
    <x:row r="235">
      <x:c r="A235" s="22" t="n">
        <x:v>46068</x:v>
      </x:c>
      <x:c r="B235" s="7" t="str">
        <x:v>INV-100234</x:v>
      </x:c>
      <x:c r="C235" s="7" t="str">
        <x:v>Sample Customer F</x:v>
      </x:c>
      <x:c r="D235" s="7" t="str">
        <x:v>FG-020</x:v>
      </x:c>
      <x:c r="E235" s="24" t="n">
        <x:v>75</x:v>
      </x:c>
      <x:c r="F235" s="26" t="n">
        <x:v>3224.1282124473587</x:v>
      </x:c>
      <x:c r="G235" s="26" t="n">
        <x:v>138.63751313523645</x:v>
      </x:c>
      <x:c r="H235" s="26" t="n">
        <x:v>7.09308206738419</x:v>
      </x:c>
      <x:c r="I235" s="26" t="n">
        <x:f>F235-G235-H235</x:f>
        <x:v>3078.397617244738</x:v>
      </x:c>
      <x:c r="J235" s="26" t="n">
        <x:v>572.0625</x:v>
      </x:c>
      <x:c r="K235" s="27" t="n">
        <x:v>67.72474757938423</x:v>
      </x:c>
    </x:row>
    <x:row r="236">
      <x:c r="A236" s="22" t="n">
        <x:v>46096</x:v>
      </x:c>
      <x:c r="B236" s="7" t="str">
        <x:v>INV-100235</x:v>
      </x:c>
      <x:c r="C236" s="7" t="str">
        <x:v>Sample Customer B</x:v>
      </x:c>
      <x:c r="D236" s="7" t="str">
        <x:v>FG-020</x:v>
      </x:c>
      <x:c r="E236" s="24" t="n">
        <x:v>80</x:v>
      </x:c>
      <x:c r="F236" s="26" t="n">
        <x:v>3238.7359130862787</x:v>
      </x:c>
      <x:c r="G236" s="26" t="n">
        <x:v>139.26564426271</x:v>
      </x:c>
      <x:c r="H236" s="26" t="n">
        <x:v>7.125219008789814</x:v>
      </x:c>
      <x:c r="I236" s="26" t="n">
        <x:f>F236-G236-H236</x:f>
        <x:v>3092.345049814779</x:v>
      </x:c>
      <x:c r="J236" s="26" t="n">
        <x:v>452</x:v>
      </x:c>
      <x:c r="K236" s="27" t="n">
        <x:v>68.03159109592514</x:v>
      </x:c>
    </x:row>
    <x:row r="237">
      <x:c r="A237" s="22" t="n">
        <x:v>46127</x:v>
      </x:c>
      <x:c r="B237" s="7" t="str">
        <x:v>INV-100236</x:v>
      </x:c>
      <x:c r="C237" s="7" t="str">
        <x:v>Sample Customer D</x:v>
      </x:c>
      <x:c r="D237" s="7" t="str">
        <x:v>FG-020</x:v>
      </x:c>
      <x:c r="E237" s="24" t="n">
        <x:v>90</x:v>
      </x:c>
      <x:c r="F237" s="26" t="n">
        <x:v>3756.265878579447</x:v>
      </x:c>
      <x:c r="G237" s="26" t="n">
        <x:v>161.51943277891624</x:v>
      </x:c>
      <x:c r="H237" s="26" t="n">
        <x:v>8.263784932874783</x:v>
      </x:c>
      <x:c r="I237" s="26" t="n">
        <x:f>F237-G237-H237</x:f>
        <x:v>3586.482660867656</x:v>
      </x:c>
      <x:c r="J237" s="26" t="n">
        <x:v>508.50000000000006</x:v>
      </x:c>
      <x:c r="K237" s="27" t="n">
        <x:v>78.90261853908842</x:v>
      </x:c>
    </x:row>
    <x:row r="238">
      <x:c r="A238" s="22" t="n">
        <x:v>46157</x:v>
      </x:c>
      <x:c r="B238" s="7" t="str">
        <x:v>INV-100237</x:v>
      </x:c>
      <x:c r="C238" s="7" t="str">
        <x:v>Sample Customer F</x:v>
      </x:c>
      <x:c r="D238" s="7" t="str">
        <x:v>FG-020</x:v>
      </x:c>
      <x:c r="E238" s="24" t="n">
        <x:v>95</x:v>
      </x:c>
      <x:c r="F238" s="26" t="n">
        <x:v>4083.8957357666545</x:v>
      </x:c>
      <x:c r="G238" s="26" t="n">
        <x:v>175.60751663796617</x:v>
      </x:c>
      <x:c r="H238" s="26" t="n">
        <x:v>8.984570618686641</x:v>
      </x:c>
      <x:c r="I238" s="26" t="n">
        <x:f>F238-G238-H238</x:f>
        <x:v>3899.303648510002</x:v>
      </x:c>
      <x:c r="J238" s="26" t="n">
        <x:v>724.6125000000001</x:v>
      </x:c>
      <x:c r="K238" s="27" t="n">
        <x:v>85.78468026722004</x:v>
      </x:c>
    </x:row>
    <x:row r="239">
      <x:c r="A239" s="22" t="n">
        <x:v>46188</x:v>
      </x:c>
      <x:c r="B239" s="7" t="str">
        <x:v>INV-100238</x:v>
      </x:c>
      <x:c r="C239" s="7" t="str">
        <x:v>Sample Customer B</x:v>
      </x:c>
      <x:c r="D239" s="7" t="str">
        <x:v>FG-020</x:v>
      </x:c>
      <x:c r="E239" s="24" t="n">
        <x:v>105</x:v>
      </x:c>
      <x:c r="F239" s="26" t="n">
        <x:v>4250.840885925741</x:v>
      </x:c>
      <x:c r="G239" s="26" t="n">
        <x:v>182.78615809480686</x:v>
      </x:c>
      <x:c r="H239" s="26" t="n">
        <x:v>9.35184994903663</x:v>
      </x:c>
      <x:c r="I239" s="26" t="n">
        <x:f>F239-G239-H239</x:f>
        <x:v>4058.702877881897</x:v>
      </x:c>
      <x:c r="J239" s="26" t="n">
        <x:v>593.25</x:v>
      </x:c>
      <x:c r="K239" s="27" t="n">
        <x:v>89.29146331340174</x:v>
      </x:c>
    </x:row>
    <x:row r="240">
      <x:c r="A240" s="22" t="n">
        <x:v>46218</x:v>
      </x:c>
      <x:c r="B240" s="7" t="str">
        <x:v>INV-100239</x:v>
      </x:c>
      <x:c r="C240" s="7" t="str">
        <x:v>Sample Customer D</x:v>
      </x:c>
      <x:c r="D240" s="7" t="str">
        <x:v>FG-020</x:v>
      </x:c>
      <x:c r="E240" s="24" t="n">
        <x:v>110</x:v>
      </x:c>
      <x:c r="F240" s="26" t="n">
        <x:v>4590.991629374879</x:v>
      </x:c>
      <x:c r="G240" s="26" t="n">
        <x:v>197.41264006311982</x:v>
      </x:c>
      <x:c r="H240" s="26" t="n">
        <x:v>10.100181584624735</x:v>
      </x:c>
      <x:c r="I240" s="26" t="n">
        <x:f>F240-G240-H240</x:f>
        <x:v>4383.478807727135</x:v>
      </x:c>
      <x:c r="J240" s="26" t="n">
        <x:v>621.5</x:v>
      </x:c>
      <x:c r="K240" s="27" t="n">
        <x:v>96.43653376999697</x:v>
      </x:c>
    </x:row>
    <x:row r="241">
      <x:c r="A241" s="22" t="n">
        <x:v>46249</x:v>
      </x:c>
      <x:c r="B241" s="7" t="str">
        <x:v>INV-100240</x:v>
      </x:c>
      <x:c r="C241" s="7" t="str">
        <x:v>Sample Customer F</x:v>
      </x:c>
      <x:c r="D241" s="7" t="str">
        <x:v>FG-020</x:v>
      </x:c>
      <x:c r="E241" s="24" t="n">
        <x:v>75</x:v>
      </x:c>
      <x:c r="F241" s="26" t="n">
        <x:v>3224.1282124473587</x:v>
      </x:c>
      <x:c r="G241" s="26" t="n">
        <x:v>138.63751313523645</x:v>
      </x:c>
      <x:c r="H241" s="26" t="n">
        <x:v>7.09308206738419</x:v>
      </x:c>
      <x:c r="I241" s="26" t="n">
        <x:f>F241-G241-H241</x:f>
        <x:v>3078.397617244738</x:v>
      </x:c>
      <x:c r="J241" s="26" t="n">
        <x:v>572.0625</x:v>
      </x:c>
      <x:c r="K241" s="27" t="n">
        <x:v>67.72474757938423</x:v>
      </x:c>
    </x:row>
    <x:row r="242">
      <x:c r="A242" s="22" t="n">
        <x:v>45915</x:v>
      </x:c>
      <x:c r="B242" s="7" t="str">
        <x:v>INV-100241</x:v>
      </x:c>
      <x:c r="C242" s="7" t="str">
        <x:v>Sample Customer C</x:v>
      </x:c>
      <x:c r="D242" s="7" t="str">
        <x:v>FG-021</x:v>
      </x:c>
      <x:c r="E242" s="24" t="n">
        <x:v>270</x:v>
      </x:c>
      <x:c r="F242" s="26" t="n">
        <x:v>6243.404077820426</x:v>
      </x:c>
      <x:c r="G242" s="26" t="n">
        <x:v>156.08510194551067</x:v>
      </x:c>
      <x:c r="H242" s="26" t="n">
        <x:v>13.735488971204939</x:v>
      </x:c>
      <x:c r="I242" s="26" t="n">
        <x:f>F242-G242-H242</x:f>
        <x:v>6073.583486903711</x:v>
      </x:c>
      <x:c r="J242" s="26" t="n">
        <x:v>607.5</x:v>
      </x:c>
      <x:c r="K242" s="27" t="n">
        <x:v>157.91317065949647</x:v>
      </x:c>
    </x:row>
    <x:row r="243">
      <x:c r="A243" s="22" t="n">
        <x:v>45945</x:v>
      </x:c>
      <x:c r="B243" s="7" t="str">
        <x:v>INV-100242</x:v>
      </x:c>
      <x:c r="C243" s="7" t="str">
        <x:v>Sample Customer E</x:v>
      </x:c>
      <x:c r="D243" s="7" t="str">
        <x:v>FG-021</x:v>
      </x:c>
      <x:c r="E243" s="24" t="n">
        <x:v>290</x:v>
      </x:c>
      <x:c r="F243" s="26" t="n">
        <x:v>6913.27675665492</x:v>
      </x:c>
      <x:c r="G243" s="26" t="n">
        <x:v>172.831918916373</x:v>
      </x:c>
      <x:c r="H243" s="26" t="n">
        <x:v>15.209208864640825</x:v>
      </x:c>
      <x:c r="I243" s="26" t="n">
        <x:f>F243-G243-H243</x:f>
        <x:v>6725.2356288739065</x:v>
      </x:c>
      <x:c r="J243" s="26" t="n">
        <x:v>769.9499999999999</x:v>
      </x:c>
      <x:c r="K243" s="27" t="n">
        <x:v>174.85612635072155</x:v>
      </x:c>
    </x:row>
    <x:row r="244">
      <x:c r="A244" s="22" t="n">
        <x:v>45976</x:v>
      </x:c>
      <x:c r="B244" s="7" t="str">
        <x:v>INV-100243</x:v>
      </x:c>
      <x:c r="C244" s="7" t="str">
        <x:v>Sample Customer A</x:v>
      </x:c>
      <x:c r="D244" s="7" t="str">
        <x:v>FG-021</x:v>
      </x:c>
      <x:c r="E244" s="24" t="n">
        <x:v>310</x:v>
      </x:c>
      <x:c r="F244" s="26" t="n">
        <x:v>7611.7560979307445</x:v>
      </x:c>
      <x:c r="G244" s="26" t="n">
        <x:v>190.29390244826862</x:v>
      </x:c>
      <x:c r="H244" s="26" t="n">
        <x:v>16.74586341544764</x:v>
      </x:c>
      <x:c r="I244" s="26" t="n">
        <x:f>F244-G244-H244</x:f>
        <x:v>7404.716332067029</x:v>
      </x:c>
      <x:c r="J244" s="26" t="n">
        <x:v>697.5</x:v>
      </x:c>
      <x:c r="K244" s="27" t="n">
        <x:v>192.52262463374274</x:v>
      </x:c>
    </x:row>
    <x:row r="245">
      <x:c r="A245" s="22" t="n">
        <x:v>46006</x:v>
      </x:c>
      <x:c r="B245" s="7" t="str">
        <x:v>INV-100244</x:v>
      </x:c>
      <x:c r="C245" s="7" t="str">
        <x:v>Sample Customer C</x:v>
      </x:c>
      <x:c r="D245" s="7" t="str">
        <x:v>FG-021</x:v>
      </x:c>
      <x:c r="E245" s="24" t="n">
        <x:v>335</x:v>
      </x:c>
      <x:c r="F245" s="26" t="n">
        <x:v>7746.445800258676</x:v>
      </x:c>
      <x:c r="G245" s="26" t="n">
        <x:v>193.6611450064669</x:v>
      </x:c>
      <x:c r="H245" s="26" t="n">
        <x:v>17.04218076056909</x:v>
      </x:c>
      <x:c r="I245" s="26" t="n">
        <x:f>F245-G245-H245</x:f>
        <x:v>7535.742474491641</x:v>
      </x:c>
      <x:c r="J245" s="26" t="n">
        <x:v>753.75</x:v>
      </x:c>
      <x:c r="K245" s="27" t="n">
        <x:v>195.92930433678265</x:v>
      </x:c>
    </x:row>
    <x:row r="246">
      <x:c r="A246" s="22" t="n">
        <x:v>46037</x:v>
      </x:c>
      <x:c r="B246" s="7" t="str">
        <x:v>INV-100245</x:v>
      </x:c>
      <x:c r="C246" s="7" t="str">
        <x:v>Sample Customer E</x:v>
      </x:c>
      <x:c r="D246" s="7" t="str">
        <x:v>FG-021</x:v>
      </x:c>
      <x:c r="E246" s="24" t="n">
        <x:v>230</x:v>
      </x:c>
      <x:c r="F246" s="26" t="n">
        <x:v>5482.943634588385</x:v>
      </x:c>
      <x:c r="G246" s="26" t="n">
        <x:v>137.07359086470964</x:v>
      </x:c>
      <x:c r="H246" s="26" t="n">
        <x:v>52.636258892048495</x:v>
      </x:c>
      <x:c r="I246" s="26" t="n">
        <x:f>F246-G246-H246</x:f>
        <x:v>5293.233784831627</x:v>
      </x:c>
      <x:c r="J246" s="26" t="n">
        <x:v>610.65</x:v>
      </x:c>
      <x:c r="K246" s="27" t="n">
        <x:v>137.6240784056223</x:v>
      </x:c>
    </x:row>
    <x:row r="247">
      <x:c r="A247" s="22" t="n">
        <x:v>46068</x:v>
      </x:c>
      <x:c r="B247" s="7" t="str">
        <x:v>INV-100246</x:v>
      </x:c>
      <x:c r="C247" s="7" t="str">
        <x:v>Sample Customer A</x:v>
      </x:c>
      <x:c r="D247" s="7" t="str">
        <x:v>FG-021</x:v>
      </x:c>
      <x:c r="E247" s="24" t="n">
        <x:v>250</x:v>
      </x:c>
      <x:c r="F247" s="26" t="n">
        <x:v>6138.512982202214</x:v>
      </x:c>
      <x:c r="G247" s="26" t="n">
        <x:v>153.46282455505533</x:v>
      </x:c>
      <x:c r="H247" s="26" t="n">
        <x:v>13.504728560844871</x:v>
      </x:c>
      <x:c r="I247" s="26" t="n">
        <x:f>F247-G247-H247</x:f>
        <x:v>5971.545429086313</x:v>
      </x:c>
      <x:c r="J247" s="26" t="n">
        <x:v>562.5</x:v>
      </x:c>
      <x:c r="K247" s="27" t="n">
        <x:v>155.26018115624413</x:v>
      </x:c>
    </x:row>
    <x:row r="248">
      <x:c r="A248" s="22" t="n">
        <x:v>46096</x:v>
      </x:c>
      <x:c r="B248" s="7" t="str">
        <x:v>INV-100247</x:v>
      </x:c>
      <x:c r="C248" s="7" t="str">
        <x:v>Sample Customer C</x:v>
      </x:c>
      <x:c r="D248" s="7" t="str">
        <x:v>FG-021</x:v>
      </x:c>
      <x:c r="E248" s="24" t="n">
        <x:v>270</x:v>
      </x:c>
      <x:c r="F248" s="26" t="n">
        <x:v>6243.404077820426</x:v>
      </x:c>
      <x:c r="G248" s="26" t="n">
        <x:v>156.08510194551067</x:v>
      </x:c>
      <x:c r="H248" s="26" t="n">
        <x:v>13.735488971204939</x:v>
      </x:c>
      <x:c r="I248" s="26" t="n">
        <x:f>F248-G248-H248</x:f>
        <x:v>6073.583486903711</x:v>
      </x:c>
      <x:c r="J248" s="26" t="n">
        <x:v>607.5</x:v>
      </x:c>
      <x:c r="K248" s="27" t="n">
        <x:v>157.91317065949647</x:v>
      </x:c>
    </x:row>
    <x:row r="249">
      <x:c r="A249" s="22" t="n">
        <x:v>46127</x:v>
      </x:c>
      <x:c r="B249" s="7" t="str">
        <x:v>INV-100248</x:v>
      </x:c>
      <x:c r="C249" s="7" t="str">
        <x:v>Sample Customer E</x:v>
      </x:c>
      <x:c r="D249" s="7" t="str">
        <x:v>FG-021</x:v>
      </x:c>
      <x:c r="E249" s="24" t="n">
        <x:v>290</x:v>
      </x:c>
      <x:c r="F249" s="26" t="n">
        <x:v>6913.27675665492</x:v>
      </x:c>
      <x:c r="G249" s="26" t="n">
        <x:v>172.831918916373</x:v>
      </x:c>
      <x:c r="H249" s="26" t="n">
        <x:v>15.209208864640825</x:v>
      </x:c>
      <x:c r="I249" s="26" t="n">
        <x:f>F249-G249-H249</x:f>
        <x:v>6725.2356288739065</x:v>
      </x:c>
      <x:c r="J249" s="26" t="n">
        <x:v>769.9499999999999</x:v>
      </x:c>
      <x:c r="K249" s="27" t="n">
        <x:v>174.85612635072155</x:v>
      </x:c>
    </x:row>
    <x:row r="250">
      <x:c r="A250" s="22" t="n">
        <x:v>46157</x:v>
      </x:c>
      <x:c r="B250" s="7" t="str">
        <x:v>INV-100249</x:v>
      </x:c>
      <x:c r="C250" s="7" t="str">
        <x:v>Sample Customer A</x:v>
      </x:c>
      <x:c r="D250" s="7" t="str">
        <x:v>FG-021</x:v>
      </x:c>
      <x:c r="E250" s="24" t="n">
        <x:v>310</x:v>
      </x:c>
      <x:c r="F250" s="26" t="n">
        <x:v>7611.7560979307445</x:v>
      </x:c>
      <x:c r="G250" s="26" t="n">
        <x:v>190.29390244826862</x:v>
      </x:c>
      <x:c r="H250" s="26" t="n">
        <x:v>16.74586341544764</x:v>
      </x:c>
      <x:c r="I250" s="26" t="n">
        <x:f>F250-G250-H250</x:f>
        <x:v>7404.716332067029</x:v>
      </x:c>
      <x:c r="J250" s="26" t="n">
        <x:v>697.5</x:v>
      </x:c>
      <x:c r="K250" s="27" t="n">
        <x:v>192.52262463374274</x:v>
      </x:c>
    </x:row>
    <x:row r="251">
      <x:c r="A251" s="22" t="n">
        <x:v>46188</x:v>
      </x:c>
      <x:c r="B251" s="7" t="str">
        <x:v>INV-100250</x:v>
      </x:c>
      <x:c r="C251" s="7" t="str">
        <x:v>Sample Customer C</x:v>
      </x:c>
      <x:c r="D251" s="7" t="str">
        <x:v>FG-021</x:v>
      </x:c>
      <x:c r="E251" s="24" t="n">
        <x:v>335</x:v>
      </x:c>
      <x:c r="F251" s="26" t="n">
        <x:v>7746.445800258676</x:v>
      </x:c>
      <x:c r="G251" s="26" t="n">
        <x:v>193.6611450064669</x:v>
      </x:c>
      <x:c r="H251" s="26" t="n">
        <x:v>17.04218076056909</x:v>
      </x:c>
      <x:c r="I251" s="26" t="n">
        <x:f>F251-G251-H251</x:f>
        <x:v>7535.742474491641</x:v>
      </x:c>
      <x:c r="J251" s="26" t="n">
        <x:v>753.75</x:v>
      </x:c>
      <x:c r="K251" s="27" t="n">
        <x:v>195.92930433678265</x:v>
      </x:c>
    </x:row>
    <x:row r="252">
      <x:c r="A252" s="22" t="n">
        <x:v>46218</x:v>
      </x:c>
      <x:c r="B252" s="7" t="str">
        <x:v>INV-100251</x:v>
      </x:c>
      <x:c r="C252" s="7" t="str">
        <x:v>Sample Customer E</x:v>
      </x:c>
      <x:c r="D252" s="7" t="str">
        <x:v>FG-021</x:v>
      </x:c>
      <x:c r="E252" s="24" t="n">
        <x:v>230</x:v>
      </x:c>
      <x:c r="F252" s="26" t="n">
        <x:v>5482.943634588385</x:v>
      </x:c>
      <x:c r="G252" s="26" t="n">
        <x:v>137.07359086470964</x:v>
      </x:c>
      <x:c r="H252" s="26" t="n">
        <x:v>12.062475996094449</x:v>
      </x:c>
      <x:c r="I252" s="26" t="n">
        <x:f>F252-G252-H252</x:f>
        <x:v>5333.807567727581</x:v>
      </x:c>
      <x:c r="J252" s="26" t="n">
        <x:v>610.65</x:v>
      </x:c>
      <x:c r="K252" s="27" t="n">
        <x:v>138.6789967609171</x:v>
      </x:c>
    </x:row>
    <x:row r="253">
      <x:c r="A253" s="22" t="n">
        <x:v>46249</x:v>
      </x:c>
      <x:c r="B253" s="7" t="str">
        <x:v>INV-100252</x:v>
      </x:c>
      <x:c r="C253" s="7" t="str">
        <x:v>Sample Customer A</x:v>
      </x:c>
      <x:c r="D253" s="7" t="str">
        <x:v>FG-021</x:v>
      </x:c>
      <x:c r="E253" s="24" t="n">
        <x:v>250</x:v>
      </x:c>
      <x:c r="F253" s="26" t="n">
        <x:v>6138.512982202214</x:v>
      </x:c>
      <x:c r="G253" s="26" t="n">
        <x:v>153.46282455505533</x:v>
      </x:c>
      <x:c r="H253" s="26" t="n">
        <x:v>13.504728560844871</x:v>
      </x:c>
      <x:c r="I253" s="26" t="n">
        <x:f>F253-G253-H253</x:f>
        <x:v>5971.545429086313</x:v>
      </x:c>
      <x:c r="J253" s="26" t="n">
        <x:v>562.5</x:v>
      </x:c>
      <x:c r="K253" s="27" t="n">
        <x:v>155.26018115624413</x:v>
      </x:c>
    </x:row>
    <x:row r="254">
      <x:c r="A254" s="22" t="n">
        <x:v>45915</x:v>
      </x:c>
      <x:c r="B254" s="7" t="str">
        <x:v>INV-100253</x:v>
      </x:c>
      <x:c r="C254" s="7" t="str">
        <x:v>Sample Customer D</x:v>
      </x:c>
      <x:c r="D254" s="7" t="str">
        <x:v>FG-022</x:v>
      </x:c>
      <x:c r="E254" s="24" t="n">
        <x:v>455</x:v>
      </x:c>
      <x:c r="F254" s="26" t="n">
        <x:v>12987.813751566813</x:v>
      </x:c>
      <x:c r="G254" s="26" t="n">
        <x:v>402.6222262985712</x:v>
      </x:c>
      <x:c r="H254" s="26" t="n">
        <x:v>28.57319025344699</x:v>
      </x:c>
      <x:c r="I254" s="26" t="n">
        <x:f>F254-G254-H254</x:f>
        <x:v>12556.618335014795</x:v>
      </x:c>
      <x:c r="J254" s="26" t="n">
        <x:v>1410.5</x:v>
      </x:c>
      <x:c r="K254" s="27" t="n">
        <x:v>226.0191300302663</x:v>
      </x:c>
    </x:row>
    <x:row r="255">
      <x:c r="A255" s="22" t="n">
        <x:v>45945</x:v>
      </x:c>
      <x:c r="B255" s="7" t="str">
        <x:v>INV-100254</x:v>
      </x:c>
      <x:c r="C255" s="7" t="str">
        <x:v>Sample Customer F</x:v>
      </x:c>
      <x:c r="D255" s="7" t="str">
        <x:v>FG-022</x:v>
      </x:c>
      <x:c r="E255" s="24" t="n">
        <x:v>485</x:v>
      </x:c>
      <x:c r="F255" s="26" t="n">
        <x:v>14272.322803919575</x:v>
      </x:c>
      <x:c r="G255" s="26" t="n">
        <x:v>442.4420069215068</x:v>
      </x:c>
      <x:c r="H255" s="26" t="n">
        <x:v>31.399110168623068</x:v>
      </x:c>
      <x:c r="I255" s="26" t="n">
        <x:f>F255-G255-H255</x:f>
        <x:v>13798.481686829446</x:v>
      </x:c>
      <x:c r="J255" s="26" t="n">
        <x:v>2029.7250000000001</x:v>
      </x:c>
      <x:c r="K255" s="27" t="n">
        <x:v>248.37267036293</x:v>
      </x:c>
    </x:row>
    <x:row r="256">
      <x:c r="A256" s="22" t="n">
        <x:v>45976</x:v>
      </x:c>
      <x:c r="B256" s="7" t="str">
        <x:v>INV-100255</x:v>
      </x:c>
      <x:c r="C256" s="7" t="str">
        <x:v>Sample Customer B</x:v>
      </x:c>
      <x:c r="D256" s="7" t="str">
        <x:v>FG-022</x:v>
      </x:c>
      <x:c r="E256" s="24" t="n">
        <x:v>520</x:v>
      </x:c>
      <x:c r="F256" s="26" t="n">
        <x:v>15761.35277067902</x:v>
      </x:c>
      <x:c r="G256" s="26" t="n">
        <x:v>488.6019358910496</x:v>
      </x:c>
      <x:c r="H256" s="26" t="n">
        <x:v>34.67497609549385</x:v>
      </x:c>
      <x:c r="I256" s="26" t="n">
        <x:f>F256-G256-H256</x:f>
        <x:v>15238.075858692477</x:v>
      </x:c>
      <x:c r="J256" s="26" t="n">
        <x:v>1612</x:v>
      </x:c>
      <x:c r="K256" s="27" t="n">
        <x:v>274.28536545646455</x:v>
      </x:c>
    </x:row>
    <x:row r="257">
      <x:c r="A257" s="22" t="n">
        <x:v>46006</x:v>
      </x:c>
      <x:c r="B257" s="7" t="str">
        <x:v>INV-100256</x:v>
      </x:c>
      <x:c r="C257" s="7" t="str">
        <x:v>Sample Customer D</x:v>
      </x:c>
      <x:c r="D257" s="7" t="str">
        <x:v>FG-022</x:v>
      </x:c>
      <x:c r="E257" s="24" t="n">
        <x:v>355</x:v>
      </x:c>
      <x:c r="F257" s="26" t="n">
        <x:v>10133.349190782897</x:v>
      </x:c>
      <x:c r="G257" s="26" t="n">
        <x:v>314.13382491426984</x:v>
      </x:c>
      <x:c r="H257" s="26" t="n">
        <x:v>22.293368219722375</x:v>
      </x:c>
      <x:c r="I257" s="26" t="n">
        <x:f>F257-G257-H257</x:f>
        <x:v>9796.921997648906</x:v>
      </x:c>
      <x:c r="J257" s="26" t="n">
        <x:v>1100.5</x:v>
      </x:c>
      <x:c r="K257" s="27" t="n">
        <x:v>176.3445959576803</x:v>
      </x:c>
    </x:row>
    <x:row r="258">
      <x:c r="A258" s="22" t="n">
        <x:v>46037</x:v>
      </x:c>
      <x:c r="B258" s="7" t="str">
        <x:v>INV-100257</x:v>
      </x:c>
      <x:c r="C258" s="7" t="str">
        <x:v>Sample Customer F</x:v>
      </x:c>
      <x:c r="D258" s="7" t="str">
        <x:v>FG-022</x:v>
      </x:c>
      <x:c r="E258" s="24" t="n">
        <x:v>390</x:v>
      </x:c>
      <x:c r="F258" s="26" t="n">
        <x:v>11476.713182533265</x:v>
      </x:c>
      <x:c r="G258" s="26" t="n">
        <x:v>355.7781086585312</x:v>
      </x:c>
      <x:c r="H258" s="26" t="n">
        <x:v>25.248769001573184</x:v>
      </x:c>
      <x:c r="I258" s="26" t="n">
        <x:f>F258-G258-H258</x:f>
        <x:v>11095.686304873161</x:v>
      </x:c>
      <x:c r="J258" s="26" t="n">
        <x:v>1632.15</x:v>
      </x:c>
      <x:c r="K258" s="27" t="n">
        <x:v>199.72235348771687</x:v>
      </x:c>
    </x:row>
    <x:row r="259">
      <x:c r="A259" s="22" t="n">
        <x:v>46068</x:v>
      </x:c>
      <x:c r="B259" s="7" t="str">
        <x:v>INV-100258</x:v>
      </x:c>
      <x:c r="C259" s="7" t="str">
        <x:v>Sample Customer B</x:v>
      </x:c>
      <x:c r="D259" s="7" t="str">
        <x:v>FG-022</x:v>
      </x:c>
      <x:c r="E259" s="24" t="n">
        <x:v>420</x:v>
      </x:c>
      <x:c r="F259" s="26" t="n">
        <x:v>12730.323391702286</x:v>
      </x:c>
      <x:c r="G259" s="26" t="n">
        <x:v>394.64002514277087</x:v>
      </x:c>
      <x:c r="H259" s="26" t="n">
        <x:v>28.00671146174503</x:v>
      </x:c>
      <x:c r="I259" s="26" t="n">
        <x:f>F259-G259-H259</x:f>
        <x:v>12307.67665509777</x:v>
      </x:c>
      <x:c r="J259" s="26" t="n">
        <x:v>1302</x:v>
      </x:c>
      <x:c r="K259" s="27" t="n">
        <x:v>221.53817979175983</x:v>
      </x:c>
    </x:row>
    <x:row r="260">
      <x:c r="A260" s="22" t="n">
        <x:v>46096</x:v>
      </x:c>
      <x:c r="B260" s="7" t="str">
        <x:v>INV-100259</x:v>
      </x:c>
      <x:c r="C260" s="7" t="str">
        <x:v>Sample Customer D</x:v>
      </x:c>
      <x:c r="D260" s="7" t="str">
        <x:v>FG-022</x:v>
      </x:c>
      <x:c r="E260" s="24" t="n">
        <x:v>455</x:v>
      </x:c>
      <x:c r="F260" s="26" t="n">
        <x:v>12987.813751566813</x:v>
      </x:c>
      <x:c r="G260" s="26" t="n">
        <x:v>402.6222262985712</x:v>
      </x:c>
      <x:c r="H260" s="26" t="n">
        <x:v>124.6830120150414</x:v>
      </x:c>
      <x:c r="I260" s="26" t="n">
        <x:f>F260-G260-H260</x:f>
        <x:v>12460.5085132532</x:v>
      </x:c>
      <x:c r="J260" s="26" t="n">
        <x:v>1410.5</x:v>
      </x:c>
      <x:c r="K260" s="27" t="n">
        <x:v>224.2891532385576</x:v>
      </x:c>
    </x:row>
    <x:row r="261">
      <x:c r="A261" s="22" t="n">
        <x:v>46127</x:v>
      </x:c>
      <x:c r="B261" s="7" t="str">
        <x:v>INV-100260</x:v>
      </x:c>
      <x:c r="C261" s="7" t="str">
        <x:v>Sample Customer F</x:v>
      </x:c>
      <x:c r="D261" s="7" t="str">
        <x:v>FG-022</x:v>
      </x:c>
      <x:c r="E261" s="24" t="n">
        <x:v>485</x:v>
      </x:c>
      <x:c r="F261" s="26" t="n">
        <x:v>14272.322803919575</x:v>
      </x:c>
      <x:c r="G261" s="26" t="n">
        <x:v>442.4420069215068</x:v>
      </x:c>
      <x:c r="H261" s="26" t="n">
        <x:v>31.399110168623068</x:v>
      </x:c>
      <x:c r="I261" s="26" t="n">
        <x:f>F261-G261-H261</x:f>
        <x:v>13798.481686829446</x:v>
      </x:c>
      <x:c r="J261" s="26" t="n">
        <x:v>2029.7250000000001</x:v>
      </x:c>
      <x:c r="K261" s="27" t="n">
        <x:v>248.37267036293</x:v>
      </x:c>
    </x:row>
    <x:row r="262">
      <x:c r="A262" s="22" t="n">
        <x:v>46157</x:v>
      </x:c>
      <x:c r="B262" s="7" t="str">
        <x:v>INV-100261</x:v>
      </x:c>
      <x:c r="C262" s="7" t="str">
        <x:v>Sample Customer B</x:v>
      </x:c>
      <x:c r="D262" s="7" t="str">
        <x:v>FG-022</x:v>
      </x:c>
      <x:c r="E262" s="24" t="n">
        <x:v>520</x:v>
      </x:c>
      <x:c r="F262" s="26" t="n">
        <x:v>15761.35277067902</x:v>
      </x:c>
      <x:c r="G262" s="26" t="n">
        <x:v>488.6019358910496</x:v>
      </x:c>
      <x:c r="H262" s="26" t="n">
        <x:v>34.67497609549385</x:v>
      </x:c>
      <x:c r="I262" s="26" t="n">
        <x:f>F262-G262-H262</x:f>
        <x:v>15238.075858692477</x:v>
      </x:c>
      <x:c r="J262" s="26" t="n">
        <x:v>1612</x:v>
      </x:c>
      <x:c r="K262" s="27" t="n">
        <x:v>274.28536545646455</x:v>
      </x:c>
    </x:row>
    <x:row r="263">
      <x:c r="A263" s="22" t="n">
        <x:v>46188</x:v>
      </x:c>
      <x:c r="B263" s="7" t="str">
        <x:v>INV-100262</x:v>
      </x:c>
      <x:c r="C263" s="7" t="str">
        <x:v>Sample Customer D</x:v>
      </x:c>
      <x:c r="D263" s="7" t="str">
        <x:v>FG-022</x:v>
      </x:c>
      <x:c r="E263" s="24" t="n">
        <x:v>355</x:v>
      </x:c>
      <x:c r="F263" s="26" t="n">
        <x:v>10133.349190782897</x:v>
      </x:c>
      <x:c r="G263" s="26" t="n">
        <x:v>314.13382491426984</x:v>
      </x:c>
      <x:c r="H263" s="26" t="n">
        <x:v>22.293368219722375</x:v>
      </x:c>
      <x:c r="I263" s="26" t="n">
        <x:f>F263-G263-H263</x:f>
        <x:v>9796.921997648906</x:v>
      </x:c>
      <x:c r="J263" s="26" t="n">
        <x:v>1100.5</x:v>
      </x:c>
      <x:c r="K263" s="27" t="n">
        <x:v>176.3445959576803</x:v>
      </x:c>
    </x:row>
    <x:row r="264">
      <x:c r="A264" s="22" t="n">
        <x:v>46218</x:v>
      </x:c>
      <x:c r="B264" s="7" t="str">
        <x:v>INV-100263</x:v>
      </x:c>
      <x:c r="C264" s="7" t="str">
        <x:v>Sample Customer F</x:v>
      </x:c>
      <x:c r="D264" s="7" t="str">
        <x:v>FG-022</x:v>
      </x:c>
      <x:c r="E264" s="24" t="n">
        <x:v>390</x:v>
      </x:c>
      <x:c r="F264" s="26" t="n">
        <x:v>11476.713182533265</x:v>
      </x:c>
      <x:c r="G264" s="26" t="n">
        <x:v>355.7781086585312</x:v>
      </x:c>
      <x:c r="H264" s="26" t="n">
        <x:v>25.248769001573184</x:v>
      </x:c>
      <x:c r="I264" s="26" t="n">
        <x:f>F264-G264-H264</x:f>
        <x:v>11095.686304873161</x:v>
      </x:c>
      <x:c r="J264" s="26" t="n">
        <x:v>1632.15</x:v>
      </x:c>
      <x:c r="K264" s="27" t="n">
        <x:v>199.72235348771687</x:v>
      </x:c>
    </x:row>
    <x:row r="265">
      <x:c r="A265" s="22" t="n">
        <x:v>46249</x:v>
      </x:c>
      <x:c r="B265" s="7" t="str">
        <x:v>INV-100264</x:v>
      </x:c>
      <x:c r="C265" s="7" t="str">
        <x:v>Sample Customer B</x:v>
      </x:c>
      <x:c r="D265" s="7" t="str">
        <x:v>FG-022</x:v>
      </x:c>
      <x:c r="E265" s="24" t="n">
        <x:v>420</x:v>
      </x:c>
      <x:c r="F265" s="26" t="n">
        <x:v>12730.323391702286</x:v>
      </x:c>
      <x:c r="G265" s="26" t="n">
        <x:v>394.64002514277087</x:v>
      </x:c>
      <x:c r="H265" s="26" t="n">
        <x:v>28.00671146174503</x:v>
      </x:c>
      <x:c r="I265" s="26" t="n">
        <x:f>F265-G265-H265</x:f>
        <x:v>12307.67665509777</x:v>
      </x:c>
      <x:c r="J265" s="26" t="n">
        <x:v>1302</x:v>
      </x:c>
      <x:c r="K265" s="27" t="n">
        <x:v>221.53817979175983</x:v>
      </x:c>
    </x:row>
    <x:row r="266">
      <x:c r="A266" s="22" t="n">
        <x:v>45915</x:v>
      </x:c>
      <x:c r="B266" s="7" t="str">
        <x:v>INV-100265</x:v>
      </x:c>
      <x:c r="C266" s="7" t="str">
        <x:v>Sample Customer E</x:v>
      </x:c>
      <x:c r="D266" s="7" t="str">
        <x:v>FG-023</x:v>
      </x:c>
      <x:c r="E266" s="24" t="n">
        <x:v>305</x:v>
      </x:c>
      <x:c r="F266" s="26" t="n">
        <x:v>6895.094210545284</x:v>
      </x:c>
      <x:c r="G266" s="26" t="n">
        <x:v>255.11848579017555</x:v>
      </x:c>
      <x:c r="H266" s="26" t="n">
        <x:v>15.169207263199626</x:v>
      </x:c>
      <x:c r="I266" s="26" t="n">
        <x:f>F266-G266-H266</x:f>
        <x:v>6624.806517491909</x:v>
      </x:c>
      <x:c r="J266" s="26" t="n">
        <x:v>1421.605</x:v>
      </x:c>
      <x:c r="K266" s="27" t="n">
        <x:v>145.745743384822</x:v>
      </x:c>
    </x:row>
    <x:row r="267">
      <x:c r="A267" s="22" t="n">
        <x:v>45945</x:v>
      </x:c>
      <x:c r="B267" s="7" t="str">
        <x:v>INV-100266</x:v>
      </x:c>
      <x:c r="C267" s="7" t="str">
        <x:v>Sample Customer A</x:v>
      </x:c>
      <x:c r="D267" s="7" t="str">
        <x:v>FG-023</x:v>
      </x:c>
      <x:c r="E267" s="24" t="n">
        <x:v>325</x:v>
      </x:c>
      <x:c r="F267" s="26" t="n">
        <x:v>7574.465500852517</x:v>
      </x:c>
      <x:c r="G267" s="26" t="n">
        <x:v>280.25522353154315</x:v>
      </x:c>
      <x:c r="H267" s="26" t="n">
        <x:v>16.663824101875537</x:v>
      </x:c>
      <x:c r="I267" s="26" t="n">
        <x:f>F267-G267-H267</x:f>
        <x:v>7277.546453219098</x:v>
      </x:c>
      <x:c r="J267" s="26" t="n">
        <x:v>1283.75</x:v>
      </x:c>
      <x:c r="K267" s="27" t="n">
        <x:v>160.10602197082014</x:v>
      </x:c>
    </x:row>
    <x:row r="268">
      <x:c r="A268" s="22" t="n">
        <x:v>45976</x:v>
      </x:c>
      <x:c r="B268" s="7" t="str">
        <x:v>INV-100267</x:v>
      </x:c>
      <x:c r="C268" s="7" t="str">
        <x:v>Sample Customer C</x:v>
      </x:c>
      <x:c r="D268" s="7" t="str">
        <x:v>FG-023</x:v>
      </x:c>
      <x:c r="E268" s="24" t="n">
        <x:v>225</x:v>
      </x:c>
      <x:c r="F268" s="26" t="n">
        <x:v>5401.176553300218</x:v>
      </x:c>
      <x:c r="G268" s="26" t="n">
        <x:v>199.8435324721081</x:v>
      </x:c>
      <x:c r="H268" s="26" t="n">
        <x:v>11.88258841726048</x:v>
      </x:c>
      <x:c r="I268" s="26" t="n">
        <x:f>F268-G268-H268</x:f>
        <x:v>5189.450432410849</x:v>
      </x:c>
      <x:c r="J268" s="26" t="n">
        <x:v>888.75</x:v>
      </x:c>
      <x:c r="K268" s="27" t="n">
        <x:v>114.16790951303868</x:v>
      </x:c>
    </x:row>
    <x:row r="269">
      <x:c r="A269" s="22" t="n">
        <x:v>46006</x:v>
      </x:c>
      <x:c r="B269" s="7" t="str">
        <x:v>INV-100268</x:v>
      </x:c>
      <x:c r="C269" s="7" t="str">
        <x:v>Sample Customer E</x:v>
      </x:c>
      <x:c r="D269" s="7" t="str">
        <x:v>FG-023</x:v>
      </x:c>
      <x:c r="E269" s="24" t="n">
        <x:v>245</x:v>
      </x:c>
      <x:c r="F269" s="26" t="n">
        <x:v>5538.68223470031</x:v>
      </x:c>
      <x:c r="G269" s="26" t="n">
        <x:v>204.9312426839115</x:v>
      </x:c>
      <x:c r="H269" s="26" t="n">
        <x:v>12.185100916340682</x:v>
      </x:c>
      <x:c r="I269" s="26" t="n">
        <x:f>F269-G269-H269</x:f>
        <x:v>5321.565891100057</x:v>
      </x:c>
      <x:c r="J269" s="26" t="n">
        <x:v>1141.945</x:v>
      </x:c>
      <x:c r="K269" s="27" t="n">
        <x:v>117.07444960420125</x:v>
      </x:c>
    </x:row>
    <x:row r="270">
      <x:c r="A270" s="22" t="n">
        <x:v>46037</x:v>
      </x:c>
      <x:c r="B270" s="7" t="str">
        <x:v>INV-100269</x:v>
      </x:c>
      <x:c r="C270" s="7" t="str">
        <x:v>Sample Customer A</x:v>
      </x:c>
      <x:c r="D270" s="7" t="str">
        <x:v>FG-023</x:v>
      </x:c>
      <x:c r="E270" s="24" t="n">
        <x:v>265</x:v>
      </x:c>
      <x:c r="F270" s="26" t="n">
        <x:v>6176.1026391566675</x:v>
      </x:c>
      <x:c r="G270" s="26" t="n">
        <x:v>228.51579764879673</x:v>
      </x:c>
      <x:c r="H270" s="26" t="n">
        <x:v>13.587425806144669</x:v>
      </x:c>
      <x:c r="I270" s="26" t="n">
        <x:f>F270-G270-H270</x:f>
        <x:v>5933.999415701725</x:v>
      </x:c>
      <x:c r="J270" s="26" t="n">
        <x:v>1046.75</x:v>
      </x:c>
      <x:c r="K270" s="27" t="n">
        <x:v>130.54798714543796</x:v>
      </x:c>
    </x:row>
    <x:row r="271">
      <x:c r="A271" s="22" t="n">
        <x:v>46068</x:v>
      </x:c>
      <x:c r="B271" s="7" t="str">
        <x:v>INV-100270</x:v>
      </x:c>
      <x:c r="C271" s="7" t="str">
        <x:v>Sample Customer C</x:v>
      </x:c>
      <x:c r="D271" s="7" t="str">
        <x:v>FG-023</x:v>
      </x:c>
      <x:c r="E271" s="24" t="n">
        <x:v>285</x:v>
      </x:c>
      <x:c r="F271" s="26" t="n">
        <x:v>6841.490300846943</x:v>
      </x:c>
      <x:c r="G271" s="26" t="n">
        <x:v>253.13514113133692</x:v>
      </x:c>
      <x:c r="H271" s="26" t="n">
        <x:v>15.051278661863275</x:v>
      </x:c>
      <x:c r="I271" s="26" t="n">
        <x:f>F271-G271-H271</x:f>
        <x:v>6573.303881053743</x:v>
      </x:c>
      <x:c r="J271" s="26" t="n">
        <x:v>1125.75</x:v>
      </x:c>
      <x:c r="K271" s="27" t="n">
        <x:v>144.61268538318234</x:v>
      </x:c>
    </x:row>
    <x:row r="272">
      <x:c r="A272" s="22" t="n">
        <x:v>46096</x:v>
      </x:c>
      <x:c r="B272" s="7" t="str">
        <x:v>INV-100271</x:v>
      </x:c>
      <x:c r="C272" s="7" t="str">
        <x:v>Sample Customer E</x:v>
      </x:c>
      <x:c r="D272" s="7" t="str">
        <x:v>FG-023</x:v>
      </x:c>
      <x:c r="E272" s="24" t="n">
        <x:v>305</x:v>
      </x:c>
      <x:c r="F272" s="26" t="n">
        <x:v>6895.094210545284</x:v>
      </x:c>
      <x:c r="G272" s="26" t="n">
        <x:v>255.11848579017555</x:v>
      </x:c>
      <x:c r="H272" s="26" t="n">
        <x:v>15.169207263199626</x:v>
      </x:c>
      <x:c r="I272" s="26" t="n">
        <x:f>F272-G272-H272</x:f>
        <x:v>6624.806517491909</x:v>
      </x:c>
      <x:c r="J272" s="26" t="n">
        <x:v>1421.605</x:v>
      </x:c>
      <x:c r="K272" s="27" t="n">
        <x:v>145.745743384822</x:v>
      </x:c>
    </x:row>
    <x:row r="273">
      <x:c r="A273" s="22" t="n">
        <x:v>46127</x:v>
      </x:c>
      <x:c r="B273" s="7" t="str">
        <x:v>INV-100272</x:v>
      </x:c>
      <x:c r="C273" s="7" t="str">
        <x:v>Sample Customer A</x:v>
      </x:c>
      <x:c r="D273" s="7" t="str">
        <x:v>FG-023</x:v>
      </x:c>
      <x:c r="E273" s="24" t="n">
        <x:v>325</x:v>
      </x:c>
      <x:c r="F273" s="26" t="n">
        <x:v>7574.465500852517</x:v>
      </x:c>
      <x:c r="G273" s="26" t="n">
        <x:v>280.25522353154315</x:v>
      </x:c>
      <x:c r="H273" s="26" t="n">
        <x:v>16.663824101875537</x:v>
      </x:c>
      <x:c r="I273" s="26" t="n">
        <x:f>F273-G273-H273</x:f>
        <x:v>7277.546453219098</x:v>
      </x:c>
      <x:c r="J273" s="26" t="n">
        <x:v>1283.75</x:v>
      </x:c>
      <x:c r="K273" s="27" t="n">
        <x:v>160.10602197082014</x:v>
      </x:c>
    </x:row>
    <x:row r="274">
      <x:c r="A274" s="22" t="n">
        <x:v>46157</x:v>
      </x:c>
      <x:c r="B274" s="7" t="str">
        <x:v>INV-100273</x:v>
      </x:c>
      <x:c r="C274" s="7" t="str">
        <x:v>Sample Customer C</x:v>
      </x:c>
      <x:c r="D274" s="7" t="str">
        <x:v>FG-023</x:v>
      </x:c>
      <x:c r="E274" s="24" t="n">
        <x:v>225</x:v>
      </x:c>
      <x:c r="F274" s="26" t="n">
        <x:v>5401.176553300218</x:v>
      </x:c>
      <x:c r="G274" s="26" t="n">
        <x:v>199.8435324721081</x:v>
      </x:c>
      <x:c r="H274" s="26" t="n">
        <x:v>51.85129491168209</x:v>
      </x:c>
      <x:c r="I274" s="26" t="n">
        <x:f>F274-G274-H274</x:f>
        <x:v>5149.481725916427</x:v>
      </x:c>
      <x:c r="J274" s="26" t="n">
        <x:v>888.75</x:v>
      </x:c>
      <x:c r="K274" s="27" t="n">
        <x:v>113.28859797016139</x:v>
      </x:c>
    </x:row>
    <x:row r="275">
      <x:c r="A275" s="22" t="n">
        <x:v>46188</x:v>
      </x:c>
      <x:c r="B275" s="7" t="str">
        <x:v>INV-100274</x:v>
      </x:c>
      <x:c r="C275" s="7" t="str">
        <x:v>Sample Customer E</x:v>
      </x:c>
      <x:c r="D275" s="7" t="str">
        <x:v>FG-023</x:v>
      </x:c>
      <x:c r="E275" s="24" t="n">
        <x:v>245</x:v>
      </x:c>
      <x:c r="F275" s="26" t="n">
        <x:v>5538.68223470031</x:v>
      </x:c>
      <x:c r="G275" s="26" t="n">
        <x:v>204.9312426839115</x:v>
      </x:c>
      <x:c r="H275" s="26" t="n">
        <x:v>12.185100916340682</x:v>
      </x:c>
      <x:c r="I275" s="26" t="n">
        <x:f>F275-G275-H275</x:f>
        <x:v>5321.565891100057</x:v>
      </x:c>
      <x:c r="J275" s="26" t="n">
        <x:v>1141.945</x:v>
      </x:c>
      <x:c r="K275" s="27" t="n">
        <x:v>117.07444960420125</x:v>
      </x:c>
    </x:row>
    <x:row r="276">
      <x:c r="A276" s="22" t="n">
        <x:v>46218</x:v>
      </x:c>
      <x:c r="B276" s="7" t="str">
        <x:v>INV-100275</x:v>
      </x:c>
      <x:c r="C276" s="7" t="str">
        <x:v>Sample Customer A</x:v>
      </x:c>
      <x:c r="D276" s="7" t="str">
        <x:v>FG-023</x:v>
      </x:c>
      <x:c r="E276" s="24" t="n">
        <x:v>265</x:v>
      </x:c>
      <x:c r="F276" s="26" t="n">
        <x:v>6176.1026391566675</x:v>
      </x:c>
      <x:c r="G276" s="26" t="n">
        <x:v>228.51579764879673</x:v>
      </x:c>
      <x:c r="H276" s="26" t="n">
        <x:v>13.587425806144669</x:v>
      </x:c>
      <x:c r="I276" s="26" t="n">
        <x:f>F276-G276-H276</x:f>
        <x:v>5933.999415701725</x:v>
      </x:c>
      <x:c r="J276" s="26" t="n">
        <x:v>1046.75</x:v>
      </x:c>
      <x:c r="K276" s="27" t="n">
        <x:v>130.54798714543796</x:v>
      </x:c>
    </x:row>
    <x:row r="277">
      <x:c r="A277" s="22" t="n">
        <x:v>46249</x:v>
      </x:c>
      <x:c r="B277" s="7" t="str">
        <x:v>INV-100276</x:v>
      </x:c>
      <x:c r="C277" s="7" t="str">
        <x:v>Sample Customer C</x:v>
      </x:c>
      <x:c r="D277" s="7" t="str">
        <x:v>FG-023</x:v>
      </x:c>
      <x:c r="E277" s="24" t="n">
        <x:v>285</x:v>
      </x:c>
      <x:c r="F277" s="26" t="n">
        <x:v>6841.490300846943</x:v>
      </x:c>
      <x:c r="G277" s="26" t="n">
        <x:v>253.13514113133692</x:v>
      </x:c>
      <x:c r="H277" s="26" t="n">
        <x:v>15.051278661863275</x:v>
      </x:c>
      <x:c r="I277" s="26" t="n">
        <x:f>F277-G277-H277</x:f>
        <x:v>6573.303881053743</x:v>
      </x:c>
      <x:c r="J277" s="26" t="n">
        <x:v>1125.75</x:v>
      </x:c>
      <x:c r="K277" s="27" t="n">
        <x:v>144.61268538318234</x:v>
      </x:c>
    </x:row>
    <x:row r="278">
      <x:c r="A278" s="22" t="n">
        <x:v>45915</x:v>
      </x:c>
      <x:c r="B278" s="7" t="str">
        <x:v>INV-100277</x:v>
      </x:c>
      <x:c r="C278" s="7" t="str">
        <x:v>Sample Customer F</x:v>
      </x:c>
      <x:c r="D278" s="7" t="str">
        <x:v>FG-024</x:v>
      </x:c>
      <x:c r="E278" s="24" t="n">
        <x:v>165</x:v>
      </x:c>
      <x:c r="F278" s="26" t="n">
        <x:v>4354.567173088255</x:v>
      </x:c>
      <x:c r="G278" s="26" t="n">
        <x:v>187.24638844279497</x:v>
      </x:c>
      <x:c r="H278" s="26" t="n">
        <x:v>9.580047780794162</x:v>
      </x:c>
      <x:c r="I278" s="26" t="n">
        <x:f>F278-G278-H278</x:f>
        <x:v>4157.740736864665</x:v>
      </x:c>
      <x:c r="J278" s="26" t="n">
        <x:v>1069.2</x:v>
      </x:c>
      <x:c r="K278" s="27" t="n">
        <x:v>108.1012591584813</x:v>
      </x:c>
    </x:row>
    <x:row r="279">
      <x:c r="A279" s="22" t="n">
        <x:v>45945</x:v>
      </x:c>
      <x:c r="B279" s="7" t="str">
        <x:v>INV-100278</x:v>
      </x:c>
      <x:c r="C279" s="7" t="str">
        <x:v>Sample Customer B</x:v>
      </x:c>
      <x:c r="D279" s="7" t="str">
        <x:v>FG-024</x:v>
      </x:c>
      <x:c r="E279" s="24" t="n">
        <x:v>115</x:v>
      </x:c>
      <x:c r="F279" s="26" t="n">
        <x:v>3128.867384599496</x:v>
      </x:c>
      <x:c r="G279" s="26" t="n">
        <x:v>134.54129753777832</x:v>
      </x:c>
      <x:c r="H279" s="26" t="n">
        <x:v>6.8835082461188914</x:v>
      </x:c>
      <x:c r="I279" s="26" t="n">
        <x:f>F279-G279-H279</x:f>
        <x:v>2987.4425788155986</x:v>
      </x:c>
      <x:c r="J279" s="26" t="n">
        <x:v>552</x:v>
      </x:c>
      <x:c r="K279" s="27" t="n">
        <x:v>77.67350704920555</x:v>
      </x:c>
    </x:row>
    <x:row r="280">
      <x:c r="A280" s="22" t="n">
        <x:v>45976</x:v>
      </x:c>
      <x:c r="B280" s="7" t="str">
        <x:v>INV-100279</x:v>
      </x:c>
      <x:c r="C280" s="7" t="str">
        <x:v>Sample Customer D</x:v>
      </x:c>
      <x:c r="D280" s="7" t="str">
        <x:v>FG-024</x:v>
      </x:c>
      <x:c r="E280" s="24" t="n">
        <x:v>125</x:v>
      </x:c>
      <x:c r="F280" s="26" t="n">
        <x:v>3502.971093627697</x:v>
      </x:c>
      <x:c r="G280" s="26" t="n">
        <x:v>150.62775702599097</x:v>
      </x:c>
      <x:c r="H280" s="26" t="n">
        <x:v>7.706536405980934</x:v>
      </x:c>
      <x:c r="I280" s="26" t="n">
        <x:f>F280-G280-H280</x:f>
        <x:v>3344.6368001957253</x:v>
      </x:c>
      <x:c r="J280" s="26" t="n">
        <x:v>600</x:v>
      </x:c>
      <x:c r="K280" s="27" t="n">
        <x:v>86.96055680508886</x:v>
      </x:c>
    </x:row>
    <x:row r="281">
      <x:c r="A281" s="22" t="n">
        <x:v>46006</x:v>
      </x:c>
      <x:c r="B281" s="7" t="str">
        <x:v>INV-100280</x:v>
      </x:c>
      <x:c r="C281" s="7" t="str">
        <x:v>Sample Customer F</x:v>
      </x:c>
      <x:c r="D281" s="7" t="str">
        <x:v>FG-024</x:v>
      </x:c>
      <x:c r="E281" s="24" t="n">
        <x:v>135</x:v>
      </x:c>
      <x:c r="F281" s="26" t="n">
        <x:v>3562.8276870722084</x:v>
      </x:c>
      <x:c r="G281" s="26" t="n">
        <x:v>153.20159054410496</x:v>
      </x:c>
      <x:c r="H281" s="26" t="n">
        <x:v>7.838220911558859</x:v>
      </x:c>
      <x:c r="I281" s="26" t="n">
        <x:f>F281-G281-H281</x:f>
        <x:v>3401.7878756165446</x:v>
      </x:c>
      <x:c r="J281" s="26" t="n">
        <x:v>874.8000000000001</x:v>
      </x:c>
      <x:c r="K281" s="27" t="n">
        <x:v>88.44648476603015</x:v>
      </x:c>
    </x:row>
    <x:row r="282">
      <x:c r="A282" s="22" t="n">
        <x:v>46037</x:v>
      </x:c>
      <x:c r="B282" s="7" t="str">
        <x:v>INV-100281</x:v>
      </x:c>
      <x:c r="C282" s="7" t="str">
        <x:v>Sample Customer B</x:v>
      </x:c>
      <x:c r="D282" s="7" t="str">
        <x:v>FG-024</x:v>
      </x:c>
      <x:c r="E282" s="24" t="n">
        <x:v>145</x:v>
      </x:c>
      <x:c r="F282" s="26" t="n">
        <x:v>3945.0936588428426</x:v>
      </x:c>
      <x:c r="G282" s="26" t="n">
        <x:v>169.63902733024224</x:v>
      </x:c>
      <x:c r="H282" s="26" t="n">
        <x:v>8.679206049454255</x:v>
      </x:c>
      <x:c r="I282" s="26" t="n">
        <x:f>F282-G282-H282</x:f>
        <x:v>3766.775425463146</x:v>
      </x:c>
      <x:c r="J282" s="26" t="n">
        <x:v>696</x:v>
      </x:c>
      <x:c r="K282" s="27" t="n">
        <x:v>97.93616106204179</x:v>
      </x:c>
    </x:row>
    <x:row r="283">
      <x:c r="A283" s="22" t="n">
        <x:v>46068</x:v>
      </x:c>
      <x:c r="B283" s="7" t="str">
        <x:v>INV-100282</x:v>
      </x:c>
      <x:c r="C283" s="7" t="str">
        <x:v>Sample Customer D</x:v>
      </x:c>
      <x:c r="D283" s="7" t="str">
        <x:v>FG-024</x:v>
      </x:c>
      <x:c r="E283" s="24" t="n">
        <x:v>155</x:v>
      </x:c>
      <x:c r="F283" s="26" t="n">
        <x:v>4343.684156098344</x:v>
      </x:c>
      <x:c r="G283" s="26" t="n">
        <x:v>186.7784187122288</x:v>
      </x:c>
      <x:c r="H283" s="26" t="n">
        <x:v>9.556105143416357</x:v>
      </x:c>
      <x:c r="I283" s="26" t="n">
        <x:f>F283-G283-H283</x:f>
        <x:v>4147.349632242699</x:v>
      </x:c>
      <x:c r="J283" s="26" t="n">
        <x:v>744</x:v>
      </x:c>
      <x:c r="K283" s="27" t="n">
        <x:v>107.83109043831017</x:v>
      </x:c>
    </x:row>
    <x:row r="284">
      <x:c r="A284" s="22" t="n">
        <x:v>46096</x:v>
      </x:c>
      <x:c r="B284" s="7" t="str">
        <x:v>INV-100283</x:v>
      </x:c>
      <x:c r="C284" s="7" t="str">
        <x:v>Sample Customer F</x:v>
      </x:c>
      <x:c r="D284" s="7" t="str">
        <x:v>FG-024</x:v>
      </x:c>
      <x:c r="E284" s="24" t="n">
        <x:v>165</x:v>
      </x:c>
      <x:c r="F284" s="26" t="n">
        <x:v>4354.567173088255</x:v>
      </x:c>
      <x:c r="G284" s="26" t="n">
        <x:v>187.24638844279497</x:v>
      </x:c>
      <x:c r="H284" s="26" t="n">
        <x:v>9.580047780794162</x:v>
      </x:c>
      <x:c r="I284" s="26" t="n">
        <x:f>F284-G284-H284</x:f>
        <x:v>4157.740736864665</x:v>
      </x:c>
      <x:c r="J284" s="26" t="n">
        <x:v>1069.2</x:v>
      </x:c>
      <x:c r="K284" s="27" t="n">
        <x:v>108.1012591584813</x:v>
      </x:c>
    </x:row>
    <x:row r="285">
      <x:c r="A285" s="22" t="n">
        <x:v>46127</x:v>
      </x:c>
      <x:c r="B285" s="7" t="str">
        <x:v>INV-100284</x:v>
      </x:c>
      <x:c r="C285" s="7" t="str">
        <x:v>Sample Customer B</x:v>
      </x:c>
      <x:c r="D285" s="7" t="str">
        <x:v>FG-024</x:v>
      </x:c>
      <x:c r="E285" s="24" t="n">
        <x:v>115</x:v>
      </x:c>
      <x:c r="F285" s="26" t="n">
        <x:v>3128.867384599496</x:v>
      </x:c>
      <x:c r="G285" s="26" t="n">
        <x:v>134.54129753777832</x:v>
      </x:c>
      <x:c r="H285" s="26" t="n">
        <x:v>6.8835082461188914</x:v>
      </x:c>
      <x:c r="I285" s="26" t="n">
        <x:f>F285-G285-H285</x:f>
        <x:v>2987.4425788155986</x:v>
      </x:c>
      <x:c r="J285" s="26" t="n">
        <x:v>552</x:v>
      </x:c>
      <x:c r="K285" s="27" t="n">
        <x:v>77.67350704920555</x:v>
      </x:c>
    </x:row>
    <x:row r="286">
      <x:c r="A286" s="22" t="n">
        <x:v>46157</x:v>
      </x:c>
      <x:c r="B286" s="7" t="str">
        <x:v>INV-100285</x:v>
      </x:c>
      <x:c r="C286" s="7" t="str">
        <x:v>Sample Customer D</x:v>
      </x:c>
      <x:c r="D286" s="7" t="str">
        <x:v>FG-024</x:v>
      </x:c>
      <x:c r="E286" s="24" t="n">
        <x:v>125</x:v>
      </x:c>
      <x:c r="F286" s="26" t="n">
        <x:v>3502.971093627697</x:v>
      </x:c>
      <x:c r="G286" s="26" t="n">
        <x:v>150.62775702599097</x:v>
      </x:c>
      <x:c r="H286" s="26" t="n">
        <x:v>7.706536405980934</x:v>
      </x:c>
      <x:c r="I286" s="26" t="n">
        <x:f>F286-G286-H286</x:f>
        <x:v>3344.6368001957253</x:v>
      </x:c>
      <x:c r="J286" s="26" t="n">
        <x:v>600</x:v>
      </x:c>
      <x:c r="K286" s="27" t="n">
        <x:v>86.96055680508886</x:v>
      </x:c>
    </x:row>
    <x:row r="287">
      <x:c r="A287" s="22" t="n">
        <x:v>46188</x:v>
      </x:c>
      <x:c r="B287" s="7" t="str">
        <x:v>INV-100286</x:v>
      </x:c>
      <x:c r="C287" s="7" t="str">
        <x:v>Sample Customer F</x:v>
      </x:c>
      <x:c r="D287" s="7" t="str">
        <x:v>FG-024</x:v>
      </x:c>
      <x:c r="E287" s="24" t="n">
        <x:v>135</x:v>
      </x:c>
      <x:c r="F287" s="26" t="n">
        <x:v>3562.8276870722084</x:v>
      </x:c>
      <x:c r="G287" s="26" t="n">
        <x:v>153.20159054410496</x:v>
      </x:c>
      <x:c r="H287" s="26" t="n">
        <x:v>7.838220911558859</x:v>
      </x:c>
      <x:c r="I287" s="26" t="n">
        <x:f>F287-G287-H287</x:f>
        <x:v>3401.7878756165446</x:v>
      </x:c>
      <x:c r="J287" s="26" t="n">
        <x:v>874.8000000000001</x:v>
      </x:c>
      <x:c r="K287" s="27" t="n">
        <x:v>88.44648476603015</x:v>
      </x:c>
    </x:row>
    <x:row r="288">
      <x:c r="A288" s="22" t="n">
        <x:v>46218</x:v>
      </x:c>
      <x:c r="B288" s="7" t="str">
        <x:v>INV-100287</x:v>
      </x:c>
      <x:c r="C288" s="7" t="str">
        <x:v>Sample Customer B</x:v>
      </x:c>
      <x:c r="D288" s="7" t="str">
        <x:v>FG-024</x:v>
      </x:c>
      <x:c r="E288" s="24" t="n">
        <x:v>145</x:v>
      </x:c>
      <x:c r="F288" s="26" t="n">
        <x:v>3945.0936588428426</x:v>
      </x:c>
      <x:c r="G288" s="26" t="n">
        <x:v>169.63902733024224</x:v>
      </x:c>
      <x:c r="H288" s="26" t="n">
        <x:v>37.87289912489128</x:v>
      </x:c>
      <x:c r="I288" s="26" t="n">
        <x:f>F288-G288-H288</x:f>
        <x:v>3737.581732387709</x:v>
      </x:c>
      <x:c r="J288" s="26" t="n">
        <x:v>696</x:v>
      </x:c>
      <x:c r="K288" s="27" t="n">
        <x:v>97.17712504208043</x:v>
      </x:c>
    </x:row>
    <x:row r="289">
      <x:c r="A289" s="23" t="n">
        <x:v>46249</x:v>
      </x:c>
      <x:c r="B289" s="10" t="str">
        <x:v>INV-100288</x:v>
      </x:c>
      <x:c r="C289" s="10" t="str">
        <x:v>Sample Customer D</x:v>
      </x:c>
      <x:c r="D289" s="10" t="str">
        <x:v>FG-024</x:v>
      </x:c>
      <x:c r="E289" s="25" t="n">
        <x:v>155</x:v>
      </x:c>
      <x:c r="F289" s="28" t="n">
        <x:v>4343.684156098344</x:v>
      </x:c>
      <x:c r="G289" s="28" t="n">
        <x:v>186.7784187122288</x:v>
      </x:c>
      <x:c r="H289" s="28" t="n">
        <x:v>9.556105143416357</x:v>
      </x:c>
      <x:c r="I289" s="28" t="n">
        <x:f>F289-G289-H289</x:f>
        <x:v>4147.349632242699</x:v>
      </x:c>
      <x:c r="J289" s="28" t="n">
        <x:v>744</x:v>
      </x:c>
      <x:c r="K289" s="29" t="n">
        <x:v>107.83109043831017</x:v>
      </x:c>
    </x:row>
  </x:sheetData>
  <x:pageMargins left="0.7" right="0.7" top="0.75" bottom="0.75" header="0.3" footer="0.3"/>
  <x:tableParts count="1">
    <x:tablePart xmlns:r="http://schemas.openxmlformats.org/officeDocument/2006/relationships" r:id="Raf7b8a14233545a9"/>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1" hidden="0" customWidth="1"/>
    <x:col min="2" max="2" width="25" hidden="0" customWidth="1"/>
    <x:col min="3" max="3" width="16" hidden="0" customWidth="1"/>
    <x:col min="4" max="4" width="15" hidden="0" customWidth="1"/>
    <x:col min="5" max="5" width="12" hidden="0" customWidth="1"/>
    <x:col min="6" max="6" width="13" hidden="0" customWidth="1"/>
    <x:col min="7" max="7" width="13" hidden="0" customWidth="1"/>
    <x:col min="8" max="8" width="20" hidden="0" customWidth="1"/>
    <x:col min="9" max="9" width="9" hidden="0" customWidth="1"/>
    <x:col min="10" max="10" width="12" hidden="0" customWidth="1"/>
    <x:col min="11" max="11" width="16" hidden="0" customWidth="1"/>
    <x:col min="12" max="12" width="11" hidden="0" customWidth="1"/>
    <x:col min="13" max="13" width="13" hidden="0" customWidth="1"/>
    <x:col min="14" max="14" width="19" hidden="0" customWidth="1"/>
  </x:cols>
  <x:sheetData>
    <x:row r="1" ht="30" customHeight="1">
      <x:c r="A1" s="20" t="str">
        <x:v>SKU</x:v>
      </x:c>
      <x:c r="B1" s="21" t="str">
        <x:v>Description</x:v>
      </x:c>
      <x:c r="C1" s="21" t="str">
        <x:v>Product Family</x:v>
      </x:c>
      <x:c r="D1" s="21" t="str">
        <x:v>Production Line</x:v>
      </x:c>
      <x:c r="E1" s="21" t="str">
        <x:v>Strategic?</x:v>
      </x:c>
      <x:c r="F1" s="21" t="str">
        <x:v>Lifecycle</x:v>
      </x:c>
      <x:c r="G1" s="21" t="str">
        <x:v>Target CM %</x:v>
      </x:c>
      <x:c r="H1" s="21" t="str">
        <x:v>Standard Batch Units</x:v>
      </x:c>
      <x:c r="I1" s="21" t="str">
        <x:v>UOM</x:v>
      </x:c>
      <x:c r="J1" s="21" t="str">
        <x:v>Pack Size</x:v>
      </x:c>
      <x:c r="K1" s="21" t="str">
        <x:v>Primary Owner</x:v>
      </x:c>
      <x:c r="L1" s="21" t="str">
        <x:v>BOM Lines</x:v>
      </x:c>
      <x:c r="M1" s="21" t="str">
        <x:v>Routing Rows</x:v>
      </x:c>
      <x:c r="N1" s="21" t="str">
        <x:v>Master Data Status</x:v>
      </x:c>
    </x:row>
    <x:row r="2">
      <x:c r="A2" s="6" t="str">
        <x:v>FG-001</x:v>
      </x:c>
      <x:c r="B2" s="7" t="str">
        <x:v>Shield White Product</x:v>
      </x:c>
      <x:c r="C2" s="7" t="str">
        <x:v>Shield</x:v>
      </x:c>
      <x:c r="D2" s="7" t="str">
        <x:v>Line 1</x:v>
      </x:c>
      <x:c r="E2" s="7" t="str">
        <x:v>No</x:v>
      </x:c>
      <x:c r="F2" s="7" t="str">
        <x:v>Review</x:v>
      </x:c>
      <x:c r="G2" s="30" t="n">
        <x:v>0.3</x:v>
      </x:c>
      <x:c r="H2" s="24" t="n">
        <x:v>240</x:v>
      </x:c>
      <x:c r="I2" s="7" t="str">
        <x:v>EA</x:v>
      </x:c>
      <x:c r="J2" s="7" t="str">
        <x:v>5 gal</x:v>
      </x:c>
      <x:c r="K2" s="7" t="str">
        <x:v>Commercial</x:v>
      </x:c>
      <x:c r="L2" s="7" t="n">
        <x:f>COUNTIF('BOM_Cost'!$A$2:$A$121,A2)</x:f>
        <x:v>5</x:v>
      </x:c>
      <x:c r="M2" s="7" t="n">
        <x:f>COUNTIF('Routing'!$A$2:$A$25,A2)</x:f>
        <x:v>1</x:v>
      </x:c>
      <x:c r="N2" s="8" t="str">
        <x:f>IF(AND(L2&gt;0,M2&gt;0,OR(G2="",AND(G2&gt;0,G2&lt;1))),"OK","REVIEW")</x:f>
        <x:v>OK</x:v>
      </x:c>
    </x:row>
    <x:row r="3">
      <x:c r="A3" s="6" t="str">
        <x:v>FG-002</x:v>
      </x:c>
      <x:c r="B3" s="7" t="str">
        <x:v>Shield Black Product</x:v>
      </x:c>
      <x:c r="C3" s="7" t="str">
        <x:v>Shield</x:v>
      </x:c>
      <x:c r="D3" s="7" t="str">
        <x:v>Line 1</x:v>
      </x:c>
      <x:c r="E3" s="7" t="str">
        <x:v>No</x:v>
      </x:c>
      <x:c r="F3" s="7" t="str">
        <x:v>Core</x:v>
      </x:c>
      <x:c r="G3" s="30" t="n">
        <x:v>0.315</x:v>
      </x:c>
      <x:c r="H3" s="24" t="n">
        <x:v>300</x:v>
      </x:c>
      <x:c r="I3" s="7" t="str">
        <x:v>EA</x:v>
      </x:c>
      <x:c r="J3" s="7" t="str">
        <x:v>10 gal</x:v>
      </x:c>
      <x:c r="K3" s="7" t="str">
        <x:v>Operations</x:v>
      </x:c>
      <x:c r="L3" s="7" t="n">
        <x:f>COUNTIF('BOM_Cost'!$A$2:$A$121,A3)</x:f>
        <x:v>5</x:v>
      </x:c>
      <x:c r="M3" s="7" t="n">
        <x:f>COUNTIF('Routing'!$A$2:$A$25,A3)</x:f>
        <x:v>1</x:v>
      </x:c>
      <x:c r="N3" s="8" t="str">
        <x:f>IF(AND(L3&gt;0,M3&gt;0,OR(G3="",AND(G3&gt;0,G3&lt;1))),"OK","REVIEW")</x:f>
        <x:v>OK</x:v>
      </x:c>
    </x:row>
    <x:row r="4">
      <x:c r="A4" s="6" t="str">
        <x:v>FG-003</x:v>
      </x:c>
      <x:c r="B4" s="7" t="str">
        <x:v>Shield Tan Product</x:v>
      </x:c>
      <x:c r="C4" s="7" t="str">
        <x:v>Shield</x:v>
      </x:c>
      <x:c r="D4" s="7" t="str">
        <x:v>Line 1</x:v>
      </x:c>
      <x:c r="E4" s="7" t="str">
        <x:v>No</x:v>
      </x:c>
      <x:c r="F4" s="7" t="str">
        <x:v>Core</x:v>
      </x:c>
      <x:c r="G4" s="30" t="n">
        <x:v>0.32999999999999996</x:v>
      </x:c>
      <x:c r="H4" s="24" t="n">
        <x:v>360</x:v>
      </x:c>
      <x:c r="I4" s="7" t="str">
        <x:v>EA</x:v>
      </x:c>
      <x:c r="J4" s="7" t="str">
        <x:v>15 gal</x:v>
      </x:c>
      <x:c r="K4" s="7" t="str">
        <x:v>Commercial</x:v>
      </x:c>
      <x:c r="L4" s="7" t="n">
        <x:f>COUNTIF('BOM_Cost'!$A$2:$A$121,A4)</x:f>
        <x:v>5</x:v>
      </x:c>
      <x:c r="M4" s="7" t="n">
        <x:f>COUNTIF('Routing'!$A$2:$A$25,A4)</x:f>
        <x:v>1</x:v>
      </x:c>
      <x:c r="N4" s="8" t="str">
        <x:f>IF(AND(L4&gt;0,M4&gt;0,OR(G4="",AND(G4&gt;0,G4&lt;1))),"OK","REVIEW")</x:f>
        <x:v>OK</x:v>
      </x:c>
    </x:row>
    <x:row r="5">
      <x:c r="A5" s="6" t="str">
        <x:v>FG-004</x:v>
      </x:c>
      <x:c r="B5" s="7" t="str">
        <x:v>Shield Blue Product</x:v>
      </x:c>
      <x:c r="C5" s="7" t="str">
        <x:v>Shield</x:v>
      </x:c>
      <x:c r="D5" s="7" t="str">
        <x:v>Line 1</x:v>
      </x:c>
      <x:c r="E5" s="7" t="str">
        <x:v>No</x:v>
      </x:c>
      <x:c r="F5" s="7" t="str">
        <x:v>Growth</x:v>
      </x:c>
      <x:c r="G5" s="30" t="n">
        <x:v>0.345</x:v>
      </x:c>
      <x:c r="H5" s="24" t="n">
        <x:v>420</x:v>
      </x:c>
      <x:c r="I5" s="7" t="str">
        <x:v>EA</x:v>
      </x:c>
      <x:c r="J5" s="7" t="str">
        <x:v>20 gal</x:v>
      </x:c>
      <x:c r="K5" s="7" t="str">
        <x:v>Operations</x:v>
      </x:c>
      <x:c r="L5" s="7" t="n">
        <x:f>COUNTIF('BOM_Cost'!$A$2:$A$121,A5)</x:f>
        <x:v>5</x:v>
      </x:c>
      <x:c r="M5" s="7" t="n">
        <x:f>COUNTIF('Routing'!$A$2:$A$25,A5)</x:f>
        <x:v>1</x:v>
      </x:c>
      <x:c r="N5" s="8" t="str">
        <x:f>IF(AND(L5&gt;0,M5&gt;0,OR(G5="",AND(G5&gt;0,G5&lt;1))),"OK","REVIEW")</x:f>
        <x:v>OK</x:v>
      </x:c>
    </x:row>
    <x:row r="6">
      <x:c r="A6" s="6" t="str">
        <x:v>FG-005</x:v>
      </x:c>
      <x:c r="B6" s="7" t="str">
        <x:v>Shield Gray Product</x:v>
      </x:c>
      <x:c r="C6" s="7" t="str">
        <x:v>Shield</x:v>
      </x:c>
      <x:c r="D6" s="7" t="str">
        <x:v>Line 1</x:v>
      </x:c>
      <x:c r="E6" s="7" t="str">
        <x:v>No</x:v>
      </x:c>
      <x:c r="F6" s="7" t="str">
        <x:v>Core</x:v>
      </x:c>
      <x:c r="G6" s="30" t="n">
        <x:v>0.3</x:v>
      </x:c>
      <x:c r="H6" s="24" t="n">
        <x:v>240</x:v>
      </x:c>
      <x:c r="I6" s="7" t="str">
        <x:v>EA</x:v>
      </x:c>
      <x:c r="J6" s="7" t="str">
        <x:v>5 gal</x:v>
      </x:c>
      <x:c r="K6" s="7" t="str">
        <x:v>Commercial</x:v>
      </x:c>
      <x:c r="L6" s="7" t="n">
        <x:f>COUNTIF('BOM_Cost'!$A$2:$A$121,A6)</x:f>
        <x:v>5</x:v>
      </x:c>
      <x:c r="M6" s="7" t="n">
        <x:f>COUNTIF('Routing'!$A$2:$A$25,A6)</x:f>
        <x:v>1</x:v>
      </x:c>
      <x:c r="N6" s="8" t="str">
        <x:f>IF(AND(L6&gt;0,M6&gt;0,OR(G6="",AND(G6&gt;0,G6&lt;1))),"OK","REVIEW")</x:f>
        <x:v>OK</x:v>
      </x:c>
    </x:row>
    <x:row r="7">
      <x:c r="A7" s="6" t="str">
        <x:v>FG-006</x:v>
      </x:c>
      <x:c r="B7" s="7" t="str">
        <x:v>Shield Red Product</x:v>
      </x:c>
      <x:c r="C7" s="7" t="str">
        <x:v>Shield</x:v>
      </x:c>
      <x:c r="D7" s="7" t="str">
        <x:v>Line 1</x:v>
      </x:c>
      <x:c r="E7" s="7" t="str">
        <x:v>No</x:v>
      </x:c>
      <x:c r="F7" s="7" t="str">
        <x:v>Core</x:v>
      </x:c>
      <x:c r="G7" s="30" t="n">
        <x:v>0.315</x:v>
      </x:c>
      <x:c r="H7" s="24" t="n">
        <x:v>90</x:v>
      </x:c>
      <x:c r="I7" s="7" t="str">
        <x:v>EA</x:v>
      </x:c>
      <x:c r="J7" s="7" t="str">
        <x:v>10 gal</x:v>
      </x:c>
      <x:c r="K7" s="7" t="str">
        <x:v>Operations</x:v>
      </x:c>
      <x:c r="L7" s="7" t="n">
        <x:f>COUNTIF('BOM_Cost'!$A$2:$A$121,A7)</x:f>
        <x:v>5</x:v>
      </x:c>
      <x:c r="M7" s="7" t="n">
        <x:f>COUNTIF('Routing'!$A$2:$A$25,A7)</x:f>
        <x:v>1</x:v>
      </x:c>
      <x:c r="N7" s="8" t="str">
        <x:f>IF(AND(L7&gt;0,M7&gt;0,OR(G7="",AND(G7&gt;0,G7&lt;1))),"OK","REVIEW")</x:f>
        <x:v>OK</x:v>
      </x:c>
    </x:row>
    <x:row r="8">
      <x:c r="A8" s="6" t="str">
        <x:v>FG-007</x:v>
      </x:c>
      <x:c r="B8" s="7" t="str">
        <x:v>Guard White Product</x:v>
      </x:c>
      <x:c r="C8" s="7" t="str">
        <x:v>Guard</x:v>
      </x:c>
      <x:c r="D8" s="7" t="str">
        <x:v>Line 2</x:v>
      </x:c>
      <x:c r="E8" s="7" t="str">
        <x:v>Yes</x:v>
      </x:c>
      <x:c r="F8" s="7" t="str">
        <x:v>Strategic</x:v>
      </x:c>
      <x:c r="G8" s="30" t="n">
        <x:v>0.32999999999999996</x:v>
      </x:c>
      <x:c r="H8" s="24" t="n">
        <x:v>360</x:v>
      </x:c>
      <x:c r="I8" s="7" t="str">
        <x:v>EA</x:v>
      </x:c>
      <x:c r="J8" s="7" t="str">
        <x:v>15 gal</x:v>
      </x:c>
      <x:c r="K8" s="7" t="str">
        <x:v>Commercial</x:v>
      </x:c>
      <x:c r="L8" s="7" t="n">
        <x:f>COUNTIF('BOM_Cost'!$A$2:$A$121,A8)</x:f>
        <x:v>5</x:v>
      </x:c>
      <x:c r="M8" s="7" t="n">
        <x:f>COUNTIF('Routing'!$A$2:$A$25,A8)</x:f>
        <x:v>1</x:v>
      </x:c>
      <x:c r="N8" s="8" t="str">
        <x:f>IF(AND(L8&gt;0,M8&gt;0,OR(G8="",AND(G8&gt;0,G8&lt;1))),"OK","REVIEW")</x:f>
        <x:v>OK</x:v>
      </x:c>
    </x:row>
    <x:row r="9">
      <x:c r="A9" s="6" t="str">
        <x:v>FG-008</x:v>
      </x:c>
      <x:c r="B9" s="7" t="str">
        <x:v>Guard Black Product</x:v>
      </x:c>
      <x:c r="C9" s="7" t="str">
        <x:v>Guard</x:v>
      </x:c>
      <x:c r="D9" s="7" t="str">
        <x:v>Line 2</x:v>
      </x:c>
      <x:c r="E9" s="7" t="str">
        <x:v>No</x:v>
      </x:c>
      <x:c r="F9" s="7" t="str">
        <x:v>Review</x:v>
      </x:c>
      <x:c r="G9" s="30" t="n">
        <x:v>0.345</x:v>
      </x:c>
      <x:c r="H9" s="24" t="n">
        <x:v>420</x:v>
      </x:c>
      <x:c r="I9" s="7" t="str">
        <x:v>EA</x:v>
      </x:c>
      <x:c r="J9" s="7" t="str">
        <x:v>20 gal</x:v>
      </x:c>
      <x:c r="K9" s="7" t="str">
        <x:v>Operations</x:v>
      </x:c>
      <x:c r="L9" s="7" t="n">
        <x:f>COUNTIF('BOM_Cost'!$A$2:$A$121,A9)</x:f>
        <x:v>5</x:v>
      </x:c>
      <x:c r="M9" s="7" t="n">
        <x:f>COUNTIF('Routing'!$A$2:$A$25,A9)</x:f>
        <x:v>1</x:v>
      </x:c>
      <x:c r="N9" s="8" t="str">
        <x:f>IF(AND(L9&gt;0,M9&gt;0,OR(G9="",AND(G9&gt;0,G9&lt;1))),"OK","REVIEW")</x:f>
        <x:v>OK</x:v>
      </x:c>
    </x:row>
    <x:row r="10">
      <x:c r="A10" s="6" t="str">
        <x:v>FG-009</x:v>
      </x:c>
      <x:c r="B10" s="7" t="str">
        <x:v>Guard Tan Product</x:v>
      </x:c>
      <x:c r="C10" s="7" t="str">
        <x:v>Guard</x:v>
      </x:c>
      <x:c r="D10" s="7" t="str">
        <x:v>Line 2</x:v>
      </x:c>
      <x:c r="E10" s="7" t="str">
        <x:v>No</x:v>
      </x:c>
      <x:c r="F10" s="7" t="str">
        <x:v>Core</x:v>
      </x:c>
      <x:c r="G10" s="30" t="n">
        <x:v>0.3</x:v>
      </x:c>
      <x:c r="H10" s="24" t="n">
        <x:v>240</x:v>
      </x:c>
      <x:c r="I10" s="7" t="str">
        <x:v>EA</x:v>
      </x:c>
      <x:c r="J10" s="7" t="str">
        <x:v>5 gal</x:v>
      </x:c>
      <x:c r="K10" s="7" t="str">
        <x:v>Commercial</x:v>
      </x:c>
      <x:c r="L10" s="7" t="n">
        <x:f>COUNTIF('BOM_Cost'!$A$2:$A$121,A10)</x:f>
        <x:v>5</x:v>
      </x:c>
      <x:c r="M10" s="7" t="n">
        <x:f>COUNTIF('Routing'!$A$2:$A$25,A10)</x:f>
        <x:v>1</x:v>
      </x:c>
      <x:c r="N10" s="8" t="str">
        <x:f>IF(AND(L10&gt;0,M10&gt;0,OR(G10="",AND(G10&gt;0,G10&lt;1))),"OK","REVIEW")</x:f>
        <x:v>OK</x:v>
      </x:c>
    </x:row>
    <x:row r="11">
      <x:c r="A11" s="6" t="str">
        <x:v>FG-010</x:v>
      </x:c>
      <x:c r="B11" s="7" t="str">
        <x:v>Guard Blue Product</x:v>
      </x:c>
      <x:c r="C11" s="7" t="str">
        <x:v>Guard</x:v>
      </x:c>
      <x:c r="D11" s="7" t="str">
        <x:v>Line 2</x:v>
      </x:c>
      <x:c r="E11" s="7" t="str">
        <x:v>No</x:v>
      </x:c>
      <x:c r="F11" s="7" t="str">
        <x:v>Core</x:v>
      </x:c>
      <x:c r="G11" s="30" t="n">
        <x:v>0.315</x:v>
      </x:c>
      <x:c r="H11" s="24" t="n">
        <x:v>300</x:v>
      </x:c>
      <x:c r="I11" s="7" t="str">
        <x:v>EA</x:v>
      </x:c>
      <x:c r="J11" s="7" t="str">
        <x:v>10 gal</x:v>
      </x:c>
      <x:c r="K11" s="7" t="str">
        <x:v>Operations</x:v>
      </x:c>
      <x:c r="L11" s="7" t="n">
        <x:f>COUNTIF('BOM_Cost'!$A$2:$A$121,A11)</x:f>
        <x:v>5</x:v>
      </x:c>
      <x:c r="M11" s="7" t="n">
        <x:f>COUNTIF('Routing'!$A$2:$A$25,A11)</x:f>
        <x:v>1</x:v>
      </x:c>
      <x:c r="N11" s="8" t="str">
        <x:f>IF(AND(L11&gt;0,M11&gt;0,OR(G11="",AND(G11&gt;0,G11&lt;1))),"OK","REVIEW")</x:f>
        <x:v>OK</x:v>
      </x:c>
    </x:row>
    <x:row r="12">
      <x:c r="A12" s="6" t="str">
        <x:v>FG-011</x:v>
      </x:c>
      <x:c r="B12" s="7" t="str">
        <x:v>Guard Gray Product</x:v>
      </x:c>
      <x:c r="C12" s="7" t="str">
        <x:v>Guard</x:v>
      </x:c>
      <x:c r="D12" s="7" t="str">
        <x:v>Line 2</x:v>
      </x:c>
      <x:c r="E12" s="7" t="str">
        <x:v>No</x:v>
      </x:c>
      <x:c r="F12" s="7" t="str">
        <x:v>Growth</x:v>
      </x:c>
      <x:c r="G12" s="30" t="n">
        <x:v>0.32999999999999996</x:v>
      </x:c>
      <x:c r="H12" s="24" t="n">
        <x:v>420</x:v>
      </x:c>
      <x:c r="I12" s="7" t="str">
        <x:v>EA</x:v>
      </x:c>
      <x:c r="J12" s="7" t="str">
        <x:v>15 gal</x:v>
      </x:c>
      <x:c r="K12" s="7" t="str">
        <x:v>Commercial</x:v>
      </x:c>
      <x:c r="L12" s="7" t="n">
        <x:f>COUNTIF('BOM_Cost'!$A$2:$A$121,A12)</x:f>
        <x:v>5</x:v>
      </x:c>
      <x:c r="M12" s="7" t="n">
        <x:f>COUNTIF('Routing'!$A$2:$A$25,A12)</x:f>
        <x:v>1</x:v>
      </x:c>
      <x:c r="N12" s="8" t="str">
        <x:f>IF(AND(L12&gt;0,M12&gt;0,OR(G12="",AND(G12&gt;0,G12&lt;1))),"OK","REVIEW")</x:f>
        <x:v>OK</x:v>
      </x:c>
    </x:row>
    <x:row r="13">
      <x:c r="A13" s="6" t="str">
        <x:v>FG-012</x:v>
      </x:c>
      <x:c r="B13" s="7" t="str">
        <x:v>Guard Red Product</x:v>
      </x:c>
      <x:c r="C13" s="7" t="str">
        <x:v>Guard</x:v>
      </x:c>
      <x:c r="D13" s="7" t="str">
        <x:v>Line 2</x:v>
      </x:c>
      <x:c r="E13" s="7" t="str">
        <x:v>No</x:v>
      </x:c>
      <x:c r="F13" s="7" t="str">
        <x:v>Core</x:v>
      </x:c>
      <x:c r="G13" s="30" t="n">
        <x:v>0.345</x:v>
      </x:c>
      <x:c r="H13" s="24" t="n">
        <x:v>420</x:v>
      </x:c>
      <x:c r="I13" s="7" t="str">
        <x:v>EA</x:v>
      </x:c>
      <x:c r="J13" s="7" t="str">
        <x:v>20 gal</x:v>
      </x:c>
      <x:c r="K13" s="7" t="str">
        <x:v>Operations</x:v>
      </x:c>
      <x:c r="L13" s="7" t="n">
        <x:f>COUNTIF('BOM_Cost'!$A$2:$A$121,A13)</x:f>
        <x:v>5</x:v>
      </x:c>
      <x:c r="M13" s="7" t="n">
        <x:f>COUNTIF('Routing'!$A$2:$A$25,A13)</x:f>
        <x:v>1</x:v>
      </x:c>
      <x:c r="N13" s="8" t="str">
        <x:f>IF(AND(L13&gt;0,M13&gt;0,OR(G13="",AND(G13&gt;0,G13&lt;1))),"OK","REVIEW")</x:f>
        <x:v>OK</x:v>
      </x:c>
    </x:row>
    <x:row r="14">
      <x:c r="A14" s="6" t="str">
        <x:v>FG-013</x:v>
      </x:c>
      <x:c r="B14" s="7" t="str">
        <x:v>Prime White Product</x:v>
      </x:c>
      <x:c r="C14" s="7" t="str">
        <x:v>Prime</x:v>
      </x:c>
      <x:c r="D14" s="7" t="str">
        <x:v>Line 1</x:v>
      </x:c>
      <x:c r="E14" s="7" t="str">
        <x:v>No</x:v>
      </x:c>
      <x:c r="F14" s="7" t="str">
        <x:v>Core</x:v>
      </x:c>
      <x:c r="G14" s="30" t="n">
        <x:v>0.3</x:v>
      </x:c>
      <x:c r="H14" s="24" t="n">
        <x:v>90</x:v>
      </x:c>
      <x:c r="I14" s="7" t="str">
        <x:v>EA</x:v>
      </x:c>
      <x:c r="J14" s="7" t="str">
        <x:v>5 gal</x:v>
      </x:c>
      <x:c r="K14" s="7" t="str">
        <x:v>Commercial</x:v>
      </x:c>
      <x:c r="L14" s="7" t="n">
        <x:f>COUNTIF('BOM_Cost'!$A$2:$A$121,A14)</x:f>
        <x:v>5</x:v>
      </x:c>
      <x:c r="M14" s="7" t="n">
        <x:f>COUNTIF('Routing'!$A$2:$A$25,A14)</x:f>
        <x:v>1</x:v>
      </x:c>
      <x:c r="N14" s="8" t="str">
        <x:f>IF(AND(L14&gt;0,M14&gt;0,OR(G14="",AND(G14&gt;0,G14&lt;1))),"OK","REVIEW")</x:f>
        <x:v>OK</x:v>
      </x:c>
    </x:row>
    <x:row r="15">
      <x:c r="A15" s="6" t="str">
        <x:v>FG-014</x:v>
      </x:c>
      <x:c r="B15" s="7" t="str">
        <x:v>Prime Black Product</x:v>
      </x:c>
      <x:c r="C15" s="7" t="str">
        <x:v>Prime</x:v>
      </x:c>
      <x:c r="D15" s="7" t="str">
        <x:v>Line 1</x:v>
      </x:c>
      <x:c r="E15" s="7" t="str">
        <x:v>No</x:v>
      </x:c>
      <x:c r="F15" s="7" t="str">
        <x:v>Core</x:v>
      </x:c>
      <x:c r="G15" s="30" t="n">
        <x:v>0.315</x:v>
      </x:c>
      <x:c r="H15" s="24" t="n">
        <x:v>300</x:v>
      </x:c>
      <x:c r="I15" s="7" t="str">
        <x:v>EA</x:v>
      </x:c>
      <x:c r="J15" s="7" t="str">
        <x:v>10 gal</x:v>
      </x:c>
      <x:c r="K15" s="7" t="str">
        <x:v>Operations</x:v>
      </x:c>
      <x:c r="L15" s="7" t="n">
        <x:f>COUNTIF('BOM_Cost'!$A$2:$A$121,A15)</x:f>
        <x:v>5</x:v>
      </x:c>
      <x:c r="M15" s="7" t="n">
        <x:f>COUNTIF('Routing'!$A$2:$A$25,A15)</x:f>
        <x:v>1</x:v>
      </x:c>
      <x:c r="N15" s="8" t="str">
        <x:f>IF(AND(L15&gt;0,M15&gt;0,OR(G15="",AND(G15&gt;0,G15&lt;1))),"OK","REVIEW")</x:f>
        <x:v>OK</x:v>
      </x:c>
    </x:row>
    <x:row r="16">
      <x:c r="A16" s="6" t="str">
        <x:v>FG-015</x:v>
      </x:c>
      <x:c r="B16" s="7" t="str">
        <x:v>Prime Tan Product</x:v>
      </x:c>
      <x:c r="C16" s="7" t="str">
        <x:v>Prime</x:v>
      </x:c>
      <x:c r="D16" s="7" t="str">
        <x:v>Line 1</x:v>
      </x:c>
      <x:c r="E16" s="7" t="str">
        <x:v>Yes</x:v>
      </x:c>
      <x:c r="F16" s="7" t="str">
        <x:v>Strategic</x:v>
      </x:c>
      <x:c r="G16" s="30" t="n">
        <x:v>0.32999999999999996</x:v>
      </x:c>
      <x:c r="H16" s="24" t="n">
        <x:v>360</x:v>
      </x:c>
      <x:c r="I16" s="7" t="str">
        <x:v>EA</x:v>
      </x:c>
      <x:c r="J16" s="7" t="str">
        <x:v>15 gal</x:v>
      </x:c>
      <x:c r="K16" s="7" t="str">
        <x:v>Commercial</x:v>
      </x:c>
      <x:c r="L16" s="7" t="n">
        <x:f>COUNTIF('BOM_Cost'!$A$2:$A$121,A16)</x:f>
        <x:v>5</x:v>
      </x:c>
      <x:c r="M16" s="7" t="n">
        <x:f>COUNTIF('Routing'!$A$2:$A$25,A16)</x:f>
        <x:v>1</x:v>
      </x:c>
      <x:c r="N16" s="8" t="str">
        <x:f>IF(AND(L16&gt;0,M16&gt;0,OR(G16="",AND(G16&gt;0,G16&lt;1))),"OK","REVIEW")</x:f>
        <x:v>OK</x:v>
      </x:c>
    </x:row>
    <x:row r="17">
      <x:c r="A17" s="6" t="str">
        <x:v>FG-016</x:v>
      </x:c>
      <x:c r="B17" s="7" t="str">
        <x:v>Prime Blue Product</x:v>
      </x:c>
      <x:c r="C17" s="7" t="str">
        <x:v>Prime</x:v>
      </x:c>
      <x:c r="D17" s="7" t="str">
        <x:v>Line 1</x:v>
      </x:c>
      <x:c r="E17" s="7" t="str">
        <x:v>No</x:v>
      </x:c>
      <x:c r="F17" s="7" t="str">
        <x:v>Core</x:v>
      </x:c>
      <x:c r="G17" s="30" t="n">
        <x:v>0.345</x:v>
      </x:c>
      <x:c r="H17" s="24" t="n">
        <x:v>420</x:v>
      </x:c>
      <x:c r="I17" s="7" t="str">
        <x:v>EA</x:v>
      </x:c>
      <x:c r="J17" s="7" t="str">
        <x:v>20 gal</x:v>
      </x:c>
      <x:c r="K17" s="7" t="str">
        <x:v>Operations</x:v>
      </x:c>
      <x:c r="L17" s="7" t="n">
        <x:f>COUNTIF('BOM_Cost'!$A$2:$A$121,A17)</x:f>
        <x:v>5</x:v>
      </x:c>
      <x:c r="M17" s="7" t="n">
        <x:f>COUNTIF('Routing'!$A$2:$A$25,A17)</x:f>
        <x:v>1</x:v>
      </x:c>
      <x:c r="N17" s="8" t="str">
        <x:f>IF(AND(L17&gt;0,M17&gt;0,OR(G17="",AND(G17&gt;0,G17&lt;1))),"OK","REVIEW")</x:f>
        <x:v>OK</x:v>
      </x:c>
    </x:row>
    <x:row r="18">
      <x:c r="A18" s="6" t="str">
        <x:v>FG-017</x:v>
      </x:c>
      <x:c r="B18" s="7" t="str">
        <x:v>Prime Gray Product</x:v>
      </x:c>
      <x:c r="C18" s="7" t="str">
        <x:v>Prime</x:v>
      </x:c>
      <x:c r="D18" s="7" t="str">
        <x:v>Line 1</x:v>
      </x:c>
      <x:c r="E18" s="7" t="str">
        <x:v>No</x:v>
      </x:c>
      <x:c r="F18" s="7" t="str">
        <x:v>Growth</x:v>
      </x:c>
      <x:c r="G18" s="30" t="n">
        <x:v>0.3</x:v>
      </x:c>
      <x:c r="H18" s="24" t="n">
        <x:v>420</x:v>
      </x:c>
      <x:c r="I18" s="7" t="str">
        <x:v>EA</x:v>
      </x:c>
      <x:c r="J18" s="7" t="str">
        <x:v>5 gal</x:v>
      </x:c>
      <x:c r="K18" s="7" t="str">
        <x:v>Commercial</x:v>
      </x:c>
      <x:c r="L18" s="7" t="n">
        <x:f>COUNTIF('BOM_Cost'!$A$2:$A$121,A18)</x:f>
        <x:v>5</x:v>
      </x:c>
      <x:c r="M18" s="7" t="n">
        <x:f>COUNTIF('Routing'!$A$2:$A$25,A18)</x:f>
        <x:v>1</x:v>
      </x:c>
      <x:c r="N18" s="8" t="str">
        <x:f>IF(AND(L18&gt;0,M18&gt;0,OR(G18="",AND(G18&gt;0,G18&lt;1))),"OK","REVIEW")</x:f>
        <x:v>OK</x:v>
      </x:c>
    </x:row>
    <x:row r="19">
      <x:c r="A19" s="6" t="str">
        <x:v>FG-018</x:v>
      </x:c>
      <x:c r="B19" s="7" t="str">
        <x:v>Prime Red Product</x:v>
      </x:c>
      <x:c r="C19" s="7" t="str">
        <x:v>Prime</x:v>
      </x:c>
      <x:c r="D19" s="7" t="str">
        <x:v>Line 1</x:v>
      </x:c>
      <x:c r="E19" s="7" t="str">
        <x:v>No</x:v>
      </x:c>
      <x:c r="F19" s="7" t="str">
        <x:v>Core</x:v>
      </x:c>
      <x:c r="G19" s="30" t="n">
        <x:v>0.315</x:v>
      </x:c>
      <x:c r="H19" s="24" t="n">
        <x:v>300</x:v>
      </x:c>
      <x:c r="I19" s="7" t="str">
        <x:v>EA</x:v>
      </x:c>
      <x:c r="J19" s="7" t="str">
        <x:v>10 gal</x:v>
      </x:c>
      <x:c r="K19" s="7" t="str">
        <x:v>Operations</x:v>
      </x:c>
      <x:c r="L19" s="7" t="n">
        <x:f>COUNTIF('BOM_Cost'!$A$2:$A$121,A19)</x:f>
        <x:v>5</x:v>
      </x:c>
      <x:c r="M19" s="7" t="n">
        <x:f>COUNTIF('Routing'!$A$2:$A$25,A19)</x:f>
        <x:v>1</x:v>
      </x:c>
      <x:c r="N19" s="8" t="str">
        <x:f>IF(AND(L19&gt;0,M19&gt;0,OR(G19="",AND(G19&gt;0,G19&lt;1))),"OK","REVIEW")</x:f>
        <x:v>OK</x:v>
      </x:c>
    </x:row>
    <x:row r="20">
      <x:c r="A20" s="6" t="str">
        <x:v>FG-019</x:v>
      </x:c>
      <x:c r="B20" s="7" t="str">
        <x:v>Flex White Product</x:v>
      </x:c>
      <x:c r="C20" s="7" t="str">
        <x:v>Flex</x:v>
      </x:c>
      <x:c r="D20" s="7" t="str">
        <x:v>Line 2</x:v>
      </x:c>
      <x:c r="E20" s="7" t="str">
        <x:v>No</x:v>
      </x:c>
      <x:c r="F20" s="7" t="str">
        <x:v>Review</x:v>
      </x:c>
      <x:c r="G20" s="30" t="n">
        <x:v>0.32999999999999996</x:v>
      </x:c>
      <x:c r="H20" s="24" t="n">
        <x:v>360</x:v>
      </x:c>
      <x:c r="I20" s="7" t="str">
        <x:v>EA</x:v>
      </x:c>
      <x:c r="J20" s="7" t="str">
        <x:v>15 gal</x:v>
      </x:c>
      <x:c r="K20" s="7" t="str">
        <x:v>Commercial</x:v>
      </x:c>
      <x:c r="L20" s="7" t="n">
        <x:f>COUNTIF('BOM_Cost'!$A$2:$A$121,A20)</x:f>
        <x:v>5</x:v>
      </x:c>
      <x:c r="M20" s="7" t="n">
        <x:f>COUNTIF('Routing'!$A$2:$A$25,A20)</x:f>
        <x:v>1</x:v>
      </x:c>
      <x:c r="N20" s="8" t="str">
        <x:f>IF(AND(L20&gt;0,M20&gt;0,OR(G20="",AND(G20&gt;0,G20&lt;1))),"OK","REVIEW")</x:f>
        <x:v>OK</x:v>
      </x:c>
    </x:row>
    <x:row r="21">
      <x:c r="A21" s="6" t="str">
        <x:v>FG-020</x:v>
      </x:c>
      <x:c r="B21" s="7" t="str">
        <x:v>Flex Black Product</x:v>
      </x:c>
      <x:c r="C21" s="7" t="str">
        <x:v>Flex</x:v>
      </x:c>
      <x:c r="D21" s="7" t="str">
        <x:v>Line 2</x:v>
      </x:c>
      <x:c r="E21" s="7" t="str">
        <x:v>No</x:v>
      </x:c>
      <x:c r="F21" s="7" t="str">
        <x:v>Core</x:v>
      </x:c>
      <x:c r="G21" s="30" t="n">
        <x:v>0.345</x:v>
      </x:c>
      <x:c r="H21" s="24" t="n">
        <x:v>90</x:v>
      </x:c>
      <x:c r="I21" s="7" t="str">
        <x:v>EA</x:v>
      </x:c>
      <x:c r="J21" s="7" t="str">
        <x:v>20 gal</x:v>
      </x:c>
      <x:c r="K21" s="7" t="str">
        <x:v>Operations</x:v>
      </x:c>
      <x:c r="L21" s="7" t="n">
        <x:f>COUNTIF('BOM_Cost'!$A$2:$A$121,A21)</x:f>
        <x:v>5</x:v>
      </x:c>
      <x:c r="M21" s="7" t="n">
        <x:f>COUNTIF('Routing'!$A$2:$A$25,A21)</x:f>
        <x:v>1</x:v>
      </x:c>
      <x:c r="N21" s="8" t="str">
        <x:f>IF(AND(L21&gt;0,M21&gt;0,OR(G21="",AND(G21&gt;0,G21&lt;1))),"OK","REVIEW")</x:f>
        <x:v>OK</x:v>
      </x:c>
    </x:row>
    <x:row r="22">
      <x:c r="A22" s="6" t="str">
        <x:v>FG-021</x:v>
      </x:c>
      <x:c r="B22" s="7" t="str">
        <x:v>Flex Tan Product</x:v>
      </x:c>
      <x:c r="C22" s="7" t="str">
        <x:v>Flex</x:v>
      </x:c>
      <x:c r="D22" s="7" t="str">
        <x:v>Line 2</x:v>
      </x:c>
      <x:c r="E22" s="7" t="str">
        <x:v>No</x:v>
      </x:c>
      <x:c r="F22" s="7" t="str">
        <x:v>Core</x:v>
      </x:c>
      <x:c r="G22" s="30" t="n">
        <x:v>0.3</x:v>
      </x:c>
      <x:c r="H22" s="24" t="n">
        <x:v>240</x:v>
      </x:c>
      <x:c r="I22" s="7" t="str">
        <x:v>EA</x:v>
      </x:c>
      <x:c r="J22" s="7" t="str">
        <x:v>5 gal</x:v>
      </x:c>
      <x:c r="K22" s="7" t="str">
        <x:v>Commercial</x:v>
      </x:c>
      <x:c r="L22" s="7" t="n">
        <x:f>COUNTIF('BOM_Cost'!$A$2:$A$121,A22)</x:f>
        <x:v>5</x:v>
      </x:c>
      <x:c r="M22" s="7" t="n">
        <x:f>COUNTIF('Routing'!$A$2:$A$25,A22)</x:f>
        <x:v>1</x:v>
      </x:c>
      <x:c r="N22" s="8" t="str">
        <x:f>IF(AND(L22&gt;0,M22&gt;0,OR(G22="",AND(G22&gt;0,G22&lt;1))),"OK","REVIEW")</x:f>
        <x:v>OK</x:v>
      </x:c>
    </x:row>
    <x:row r="23">
      <x:c r="A23" s="6" t="str">
        <x:v>FG-022</x:v>
      </x:c>
      <x:c r="B23" s="7" t="str">
        <x:v>Flex Blue Product</x:v>
      </x:c>
      <x:c r="C23" s="7" t="str">
        <x:v>Flex</x:v>
      </x:c>
      <x:c r="D23" s="7" t="str">
        <x:v>Line 2</x:v>
      </x:c>
      <x:c r="E23" s="7" t="str">
        <x:v>No</x:v>
      </x:c>
      <x:c r="F23" s="7" t="str">
        <x:v>Growth</x:v>
      </x:c>
      <x:c r="G23" s="30" t="n">
        <x:v>0.315</x:v>
      </x:c>
      <x:c r="H23" s="24" t="n">
        <x:v>420</x:v>
      </x:c>
      <x:c r="I23" s="7" t="str">
        <x:v>EA</x:v>
      </x:c>
      <x:c r="J23" s="7" t="str">
        <x:v>10 gal</x:v>
      </x:c>
      <x:c r="K23" s="7" t="str">
        <x:v>Operations</x:v>
      </x:c>
      <x:c r="L23" s="7" t="n">
        <x:f>COUNTIF('BOM_Cost'!$A$2:$A$121,A23)</x:f>
        <x:v>5</x:v>
      </x:c>
      <x:c r="M23" s="7" t="n">
        <x:f>COUNTIF('Routing'!$A$2:$A$25,A23)</x:f>
        <x:v>1</x:v>
      </x:c>
      <x:c r="N23" s="8" t="str">
        <x:f>IF(AND(L23&gt;0,M23&gt;0,OR(G23="",AND(G23&gt;0,G23&lt;1))),"OK","REVIEW")</x:f>
        <x:v>OK</x:v>
      </x:c>
    </x:row>
    <x:row r="24">
      <x:c r="A24" s="6" t="str">
        <x:v>FG-023</x:v>
      </x:c>
      <x:c r="B24" s="7" t="str">
        <x:v>Flex Gray Product</x:v>
      </x:c>
      <x:c r="C24" s="7" t="str">
        <x:v>Flex</x:v>
      </x:c>
      <x:c r="D24" s="7" t="str">
        <x:v>Line 2</x:v>
      </x:c>
      <x:c r="E24" s="7" t="str">
        <x:v>No</x:v>
      </x:c>
      <x:c r="F24" s="7" t="str">
        <x:v>Core</x:v>
      </x:c>
      <x:c r="G24" s="30" t="n">
        <x:v>0.32999999999999996</x:v>
      </x:c>
      <x:c r="H24" s="24" t="n">
        <x:v>360</x:v>
      </x:c>
      <x:c r="I24" s="7" t="str">
        <x:v>EA</x:v>
      </x:c>
      <x:c r="J24" s="7" t="str">
        <x:v>15 gal</x:v>
      </x:c>
      <x:c r="K24" s="7" t="str">
        <x:v>Commercial</x:v>
      </x:c>
      <x:c r="L24" s="7" t="n">
        <x:f>COUNTIF('BOM_Cost'!$A$2:$A$121,A24)</x:f>
        <x:v>5</x:v>
      </x:c>
      <x:c r="M24" s="7" t="n">
        <x:f>COUNTIF('Routing'!$A$2:$A$25,A24)</x:f>
        <x:v>1</x:v>
      </x:c>
      <x:c r="N24" s="8" t="str">
        <x:f>IF(AND(L24&gt;0,M24&gt;0,OR(G24="",AND(G24&gt;0,G24&lt;1))),"OK","REVIEW")</x:f>
        <x:v>OK</x:v>
      </x:c>
    </x:row>
    <x:row r="25">
      <x:c r="A25" s="9" t="str">
        <x:v>FG-024</x:v>
      </x:c>
      <x:c r="B25" s="10" t="str">
        <x:v>Flex Red Product</x:v>
      </x:c>
      <x:c r="C25" s="10" t="str">
        <x:v>Flex</x:v>
      </x:c>
      <x:c r="D25" s="10" t="str">
        <x:v>Line 2</x:v>
      </x:c>
      <x:c r="E25" s="10" t="str">
        <x:v>Yes</x:v>
      </x:c>
      <x:c r="F25" s="10" t="str">
        <x:v>Strategic</x:v>
      </x:c>
      <x:c r="G25" s="31" t="n">
        <x:v>0.345</x:v>
      </x:c>
      <x:c r="H25" s="25" t="n">
        <x:v>420</x:v>
      </x:c>
      <x:c r="I25" s="10" t="str">
        <x:v>EA</x:v>
      </x:c>
      <x:c r="J25" s="10" t="str">
        <x:v>20 gal</x:v>
      </x:c>
      <x:c r="K25" s="10" t="str">
        <x:v>Operations</x:v>
      </x:c>
      <x:c r="L25" s="10" t="n">
        <x:f>COUNTIF('BOM_Cost'!$A$2:$A$121,A25)</x:f>
        <x:v>5</x:v>
      </x:c>
      <x:c r="M25" s="10" t="n">
        <x:f>COUNTIF('Routing'!$A$2:$A$25,A25)</x:f>
        <x:v>1</x:v>
      </x:c>
      <x:c r="N25" s="11" t="str">
        <x:f>IF(AND(L25&gt;0,M25&gt;0,OR(G25="",AND(G25&gt;0,G25&lt;1))),"OK","REVIEW")</x:f>
        <x:v>OK</x:v>
      </x:c>
    </x:row>
  </x:sheetData>
  <x:conditionalFormatting sqref="N2:N25">
    <x:cfRule type="containsText" dxfId="0" priority="1" operator="containsText" text="REVIEW"/>
  </x:conditionalFormatting>
  <x:dataValidations count="3">
    <x:dataValidation type="decimal" operator="between" sqref="G2:G25">
      <x:formula1>0.01</x:formula1>
      <x:formula2>0.99</x:formula2>
    </x:dataValidation>
    <x:dataValidation type="list" sqref="E2:E25">
      <x:formula1>"Yes,No"</x:formula1>
    </x:dataValidation>
    <x:dataValidation type="list" sqref="F2:F25">
      <x:formula1>"Core,Growth,Strategic,Review"</x:formula1>
    </x:dataValidation>
  </x:dataValidations>
  <x:pageMargins left="0.7" right="0.7" top="0.75" bottom="0.75" header="0.3" footer="0.3"/>
  <x:tableParts count="1">
    <x:tablePart xmlns:r="http://schemas.openxmlformats.org/officeDocument/2006/relationships" r:id="Rb42e4957f3ba4b4a"/>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1" hidden="0" customWidth="1"/>
    <x:col min="2" max="2" width="13" hidden="0" customWidth="1"/>
    <x:col min="3" max="3" width="24" hidden="0" customWidth="1"/>
    <x:col min="4" max="4" width="18" hidden="0" customWidth="1"/>
    <x:col min="5" max="5" width="15" hidden="0" customWidth="1"/>
    <x:col min="6" max="6" width="20" hidden="0" customWidth="1"/>
    <x:col min="7" max="7" width="11" hidden="0" customWidth="1"/>
    <x:col min="8" max="8" width="22" hidden="0" customWidth="1"/>
  </x:cols>
  <x:sheetData>
    <x:row r="1" ht="30" customHeight="1">
      <x:c r="A1" s="20" t="str">
        <x:v>SKU</x:v>
      </x:c>
      <x:c r="B1" s="21" t="str">
        <x:v>Raw Material</x:v>
      </x:c>
      <x:c r="C1" s="21" t="str">
        <x:v>Component</x:v>
      </x:c>
      <x:c r="D1" s="21" t="str">
        <x:v>Cost Category</x:v>
      </x:c>
      <x:c r="E1" s="21" t="str">
        <x:v>Qty / FG Unit</x:v>
      </x:c>
      <x:c r="F1" s="21" t="str">
        <x:v>Standard Cost / UOM</x:v>
      </x:c>
      <x:c r="G1" s="21" t="str">
        <x:v>Scrap %</x:v>
      </x:c>
      <x:c r="H1" s="21" t="str">
        <x:v>Extended Cost / FG Unit</x:v>
      </x:c>
    </x:row>
    <x:row r="2">
      <x:c r="A2" s="6" t="str">
        <x:v>FG-001</x:v>
      </x:c>
      <x:c r="B2" s="7" t="str">
        <x:v>RM-001</x:v>
      </x:c>
      <x:c r="C2" s="7" t="str">
        <x:v>White Resin / Base</x:v>
      </x:c>
      <x:c r="D2" s="7" t="str">
        <x:v>Resin / Base</x:v>
      </x:c>
      <x:c r="E2" s="32" t="n">
        <x:v>1.055</x:v>
      </x:c>
      <x:c r="F2" s="34" t="n">
        <x:v>2.8175</x:v>
      </x:c>
      <x:c r="G2" s="30" t="n">
        <x:v>0.016</x:v>
      </x:c>
      <x:c r="H2" s="36" t="n">
        <x:f>E2*F2*(1+G2)</x:f>
        <x:v>3.0200218999999997</x:v>
      </x:c>
    </x:row>
    <x:row r="3">
      <x:c r="A3" s="6" t="str">
        <x:v>FG-001</x:v>
      </x:c>
      <x:c r="B3" s="7" t="str">
        <x:v>RM-002</x:v>
      </x:c>
      <x:c r="C3" s="7" t="str">
        <x:v>White Pigment / Filler</x:v>
      </x:c>
      <x:c r="D3" s="7" t="str">
        <x:v>Pigment / Filler</x:v>
      </x:c>
      <x:c r="E3" s="32" t="n">
        <x:v>0.3108000000000001</x:v>
      </x:c>
      <x:c r="F3" s="34" t="n">
        <x:v>1.8199999999999998</x:v>
      </x:c>
      <x:c r="G3" s="30" t="n">
        <x:v>0.022</x:v>
      </x:c>
      <x:c r="H3" s="36" t="n">
        <x:f>E3*F3*(1+G3)</x:f>
        <x:v>0.578100432</x:v>
      </x:c>
    </x:row>
    <x:row r="4">
      <x:c r="A4" s="6" t="str">
        <x:v>FG-001</x:v>
      </x:c>
      <x:c r="B4" s="7" t="str">
        <x:v>RM-003</x:v>
      </x:c>
      <x:c r="C4" s="7" t="str">
        <x:v>White Additive</x:v>
      </x:c>
      <x:c r="D4" s="7" t="str">
        <x:v>Additive</x:v>
      </x:c>
      <x:c r="E4" s="32" t="n">
        <x:v>0.0932</x:v>
      </x:c>
      <x:c r="F4" s="34" t="n">
        <x:v>8.9375</x:v>
      </x:c>
      <x:c r="G4" s="30" t="n">
        <x:v>0.028000000000000004</x:v>
      </x:c>
      <x:c r="H4" s="36" t="n">
        <x:f>E4*F4*(1+G4)</x:f>
        <x:v>0.8562983000000001</x:v>
      </x:c>
    </x:row>
    <x:row r="5">
      <x:c r="A5" s="6" t="str">
        <x:v>FG-001</x:v>
      </x:c>
      <x:c r="B5" s="7" t="str">
        <x:v>RM-004</x:v>
      </x:c>
      <x:c r="C5" s="7" t="str">
        <x:v>White Package</x:v>
      </x:c>
      <x:c r="D5" s="7" t="str">
        <x:v>Package</x:v>
      </x:c>
      <x:c r="E5" s="32" t="n">
        <x:v>1.22</x:v>
      </x:c>
      <x:c r="F5" s="34" t="n">
        <x:v>4.64</x:v>
      </x:c>
      <x:c r="G5" s="30" t="n">
        <x:v>0.01</x:v>
      </x:c>
      <x:c r="H5" s="36" t="n">
        <x:f>E5*F5*(1+G5)</x:f>
        <x:v>5.717407999999999</x:v>
      </x:c>
    </x:row>
    <x:row r="6">
      <x:c r="A6" s="6" t="str">
        <x:v>FG-001</x:v>
      </x:c>
      <x:c r="B6" s="7" t="str">
        <x:v>RM-005</x:v>
      </x:c>
      <x:c r="C6" s="7" t="str">
        <x:v>White Label / Closure</x:v>
      </x:c>
      <x:c r="D6" s="7" t="str">
        <x:v>Label / Closure</x:v>
      </x:c>
      <x:c r="E6" s="32" t="n">
        <x:v>1</x:v>
      </x:c>
      <x:c r="F6" s="34" t="n">
        <x:v>0.85</x:v>
      </x:c>
      <x:c r="G6" s="30" t="n">
        <x:v>0.016</x:v>
      </x:c>
      <x:c r="H6" s="36" t="n">
        <x:f>E6*F6*(1+G6)</x:f>
        <x:v>0.8636</x:v>
      </x:c>
    </x:row>
    <x:row r="7">
      <x:c r="A7" s="6" t="str">
        <x:v>FG-002</x:v>
      </x:c>
      <x:c r="B7" s="7" t="str">
        <x:v>RM-006</x:v>
      </x:c>
      <x:c r="C7" s="7" t="str">
        <x:v>Black Resin / Base</x:v>
      </x:c>
      <x:c r="D7" s="7" t="str">
        <x:v>Resin / Base</x:v>
      </x:c>
      <x:c r="E7" s="32" t="n">
        <x:v>1.11</x:v>
      </x:c>
      <x:c r="F7" s="34" t="n">
        <x:v>3.3349999999999995</x:v>
      </x:c>
      <x:c r="G7" s="30" t="n">
        <x:v>0.022</x:v>
      </x:c>
      <x:c r="H7" s="36" t="n">
        <x:f>E7*F7*(1+G7)</x:f>
        <x:v>3.7832907</x:v>
      </x:c>
    </x:row>
    <x:row r="8">
      <x:c r="A8" s="6" t="str">
        <x:v>FG-002</x:v>
      </x:c>
      <x:c r="B8" s="7" t="str">
        <x:v>RM-007</x:v>
      </x:c>
      <x:c r="C8" s="7" t="str">
        <x:v>Black Pigment / Filler</x:v>
      </x:c>
      <x:c r="D8" s="7" t="str">
        <x:v>Pigment / Filler</x:v>
      </x:c>
      <x:c r="E8" s="32" t="n">
        <x:v>0.32620000000000005</x:v>
      </x:c>
      <x:c r="F8" s="34" t="n">
        <x:v>1.4</x:v>
      </x:c>
      <x:c r="G8" s="30" t="n">
        <x:v>0.028000000000000004</x:v>
      </x:c>
      <x:c r="H8" s="36" t="n">
        <x:f>E8*F8*(1+G8)</x:f>
        <x:v>0.46946704000000006</x:v>
      </x:c>
    </x:row>
    <x:row r="9">
      <x:c r="A9" s="6" t="str">
        <x:v>FG-002</x:v>
      </x:c>
      <x:c r="B9" s="7" t="str">
        <x:v>RM-008</x:v>
      </x:c>
      <x:c r="C9" s="7" t="str">
        <x:v>Black Additive</x:v>
      </x:c>
      <x:c r="D9" s="7" t="str">
        <x:v>Additive</x:v>
      </x:c>
      <x:c r="E9" s="32" t="n">
        <x:v>0.0976</x:v>
      </x:c>
      <x:c r="F9" s="34" t="n">
        <x:v>6.9875</x:v>
      </x:c>
      <x:c r="G9" s="30" t="n">
        <x:v>0.01</x:v>
      </x:c>
      <x:c r="H9" s="36" t="n">
        <x:f>E9*F9*(1+G9)</x:f>
        <x:v>0.6887998000000001</x:v>
      </x:c>
    </x:row>
    <x:row r="10">
      <x:c r="A10" s="6" t="str">
        <x:v>FG-002</x:v>
      </x:c>
      <x:c r="B10" s="7" t="str">
        <x:v>RM-009</x:v>
      </x:c>
      <x:c r="C10" s="7" t="str">
        <x:v>Black Package</x:v>
      </x:c>
      <x:c r="D10" s="7" t="str">
        <x:v>Package</x:v>
      </x:c>
      <x:c r="E10" s="32" t="n">
        <x:v>1</x:v>
      </x:c>
      <x:c r="F10" s="34" t="n">
        <x:v>3.6799999999999997</x:v>
      </x:c>
      <x:c r="G10" s="30" t="n">
        <x:v>0.016</x:v>
      </x:c>
      <x:c r="H10" s="36" t="n">
        <x:f>E10*F10*(1+G10)</x:f>
        <x:v>3.73888</x:v>
      </x:c>
    </x:row>
    <x:row r="11">
      <x:c r="A11" s="6" t="str">
        <x:v>FG-002</x:v>
      </x:c>
      <x:c r="B11" s="7" t="str">
        <x:v>RM-010</x:v>
      </x:c>
      <x:c r="C11" s="7" t="str">
        <x:v>Black Label / Closure</x:v>
      </x:c>
      <x:c r="D11" s="7" t="str">
        <x:v>Label / Closure</x:v>
      </x:c>
      <x:c r="E11" s="32" t="n">
        <x:v>1.055</x:v>
      </x:c>
      <x:c r="F11" s="34" t="n">
        <x:v>1.04125</x:v>
      </x:c>
      <x:c r="G11" s="30" t="n">
        <x:v>0.022</x:v>
      </x:c>
      <x:c r="H11" s="36" t="n">
        <x:f>E11*F11*(1+G11)</x:f>
        <x:v>1.1226861625</x:v>
      </x:c>
    </x:row>
    <x:row r="12">
      <x:c r="A12" s="6" t="str">
        <x:v>FG-003</x:v>
      </x:c>
      <x:c r="B12" s="7" t="str">
        <x:v>RM-011</x:v>
      </x:c>
      <x:c r="C12" s="7" t="str">
        <x:v>Tan Resin / Base</x:v>
      </x:c>
      <x:c r="D12" s="7" t="str">
        <x:v>Resin / Base</x:v>
      </x:c>
      <x:c r="E12" s="32" t="n">
        <x:v>1.165</x:v>
      </x:c>
      <x:c r="F12" s="34" t="n">
        <x:v>2.6449999999999996</x:v>
      </x:c>
      <x:c r="G12" s="30" t="n">
        <x:v>0.028000000000000004</x:v>
      </x:c>
      <x:c r="H12" s="36" t="n">
        <x:f>E12*F12*(1+G12)</x:f>
        <x:v>3.1677048999999995</x:v>
      </x:c>
    </x:row>
    <x:row r="13">
      <x:c r="A13" s="6" t="str">
        <x:v>FG-003</x:v>
      </x:c>
      <x:c r="B13" s="7" t="str">
        <x:v>RM-012</x:v>
      </x:c>
      <x:c r="C13" s="7" t="str">
        <x:v>Tan Pigment / Filler</x:v>
      </x:c>
      <x:c r="D13" s="7" t="str">
        <x:v>Pigment / Filler</x:v>
      </x:c>
      <x:c r="E13" s="32" t="n">
        <x:v>0.3416</x:v>
      </x:c>
      <x:c r="F13" s="34" t="n">
        <x:v>1.715</x:v>
      </x:c>
      <x:c r="G13" s="30" t="n">
        <x:v>0.01</x:v>
      </x:c>
      <x:c r="H13" s="36" t="n">
        <x:f>E13*F13*(1+G13)</x:f>
        <x:v>0.59170244</x:v>
      </x:c>
    </x:row>
    <x:row r="14">
      <x:c r="A14" s="6" t="str">
        <x:v>FG-003</x:v>
      </x:c>
      <x:c r="B14" s="7" t="str">
        <x:v>RM-013</x:v>
      </x:c>
      <x:c r="C14" s="7" t="str">
        <x:v>Tan Additive</x:v>
      </x:c>
      <x:c r="D14" s="7" t="str">
        <x:v>Additive</x:v>
      </x:c>
      <x:c r="E14" s="32" t="n">
        <x:v>0.08</x:v>
      </x:c>
      <x:c r="F14" s="34" t="n">
        <x:v>8.450000000000001</x:v>
      </x:c>
      <x:c r="G14" s="30" t="n">
        <x:v>0.016</x:v>
      </x:c>
      <x:c r="H14" s="36" t="n">
        <x:f>E14*F14*(1+G14)</x:f>
        <x:v>0.6868160000000001</x:v>
      </x:c>
    </x:row>
    <x:row r="15">
      <x:c r="A15" s="6" t="str">
        <x:v>FG-003</x:v>
      </x:c>
      <x:c r="B15" s="7" t="str">
        <x:v>RM-014</x:v>
      </x:c>
      <x:c r="C15" s="7" t="str">
        <x:v>Tan Package</x:v>
      </x:c>
      <x:c r="D15" s="7" t="str">
        <x:v>Package</x:v>
      </x:c>
      <x:c r="E15" s="32" t="n">
        <x:v>1.055</x:v>
      </x:c>
      <x:c r="F15" s="34" t="n">
        <x:v>4.4</x:v>
      </x:c>
      <x:c r="G15" s="30" t="n">
        <x:v>0.022</x:v>
      </x:c>
      <x:c r="H15" s="36" t="n">
        <x:f>E15*F15*(1+G15)</x:f>
        <x:v>4.744124</x:v>
      </x:c>
    </x:row>
    <x:row r="16">
      <x:c r="A16" s="6" t="str">
        <x:v>FG-003</x:v>
      </x:c>
      <x:c r="B16" s="7" t="str">
        <x:v>RM-015</x:v>
      </x:c>
      <x:c r="C16" s="7" t="str">
        <x:v>Tan Label / Closure</x:v>
      </x:c>
      <x:c r="D16" s="7" t="str">
        <x:v>Label / Closure</x:v>
      </x:c>
      <x:c r="E16" s="32" t="n">
        <x:v>1.11</x:v>
      </x:c>
      <x:c r="F16" s="34" t="n">
        <x:v>1.2325</x:v>
      </x:c>
      <x:c r="G16" s="30" t="n">
        <x:v>0.028000000000000004</x:v>
      </x:c>
      <x:c r="H16" s="36" t="n">
        <x:f>E16*F16*(1+G16)</x:f>
        <x:v>1.4063811000000002</x:v>
      </x:c>
    </x:row>
    <x:row r="17">
      <x:c r="A17" s="6" t="str">
        <x:v>FG-004</x:v>
      </x:c>
      <x:c r="B17" s="7" t="str">
        <x:v>RM-016</x:v>
      </x:c>
      <x:c r="C17" s="7" t="str">
        <x:v>Blue Resin / Base</x:v>
      </x:c>
      <x:c r="D17" s="7" t="str">
        <x:v>Resin / Base</x:v>
      </x:c>
      <x:c r="E17" s="32" t="n">
        <x:v>1.22</x:v>
      </x:c>
      <x:c r="F17" s="34" t="n">
        <x:v>3.1624999999999996</x:v>
      </x:c>
      <x:c r="G17" s="30" t="n">
        <x:v>0.01</x:v>
      </x:c>
      <x:c r="H17" s="36" t="n">
        <x:f>E17*F17*(1+G17)</x:f>
        <x:v>3.8968324999999995</x:v>
      </x:c>
    </x:row>
    <x:row r="18">
      <x:c r="A18" s="6" t="str">
        <x:v>FG-004</x:v>
      </x:c>
      <x:c r="B18" s="7" t="str">
        <x:v>RM-017</x:v>
      </x:c>
      <x:c r="C18" s="7" t="str">
        <x:v>Blue Pigment / Filler</x:v>
      </x:c>
      <x:c r="D18" s="7" t="str">
        <x:v>Pigment / Filler</x:v>
      </x:c>
      <x:c r="E18" s="32" t="n">
        <x:v>0.28</x:v>
      </x:c>
      <x:c r="F18" s="34" t="n">
        <x:v>2.03</x:v>
      </x:c>
      <x:c r="G18" s="30" t="n">
        <x:v>0.016</x:v>
      </x:c>
      <x:c r="H18" s="36" t="n">
        <x:f>E18*F18*(1+G18)</x:f>
        <x:v>0.5774944000000001</x:v>
      </x:c>
    </x:row>
    <x:row r="19">
      <x:c r="A19" s="6" t="str">
        <x:v>FG-004</x:v>
      </x:c>
      <x:c r="B19" s="7" t="str">
        <x:v>RM-018</x:v>
      </x:c>
      <x:c r="C19" s="7" t="str">
        <x:v>Blue Additive</x:v>
      </x:c>
      <x:c r="D19" s="7" t="str">
        <x:v>Additive</x:v>
      </x:c>
      <x:c r="E19" s="32" t="n">
        <x:v>0.0844</x:v>
      </x:c>
      <x:c r="F19" s="34" t="n">
        <x:v>6.5</x:v>
      </x:c>
      <x:c r="G19" s="30" t="n">
        <x:v>0.022</x:v>
      </x:c>
      <x:c r="H19" s="36" t="n">
        <x:f>E19*F19*(1+G19)</x:f>
        <x:v>0.5606692</x:v>
      </x:c>
    </x:row>
    <x:row r="20">
      <x:c r="A20" s="6" t="str">
        <x:v>FG-004</x:v>
      </x:c>
      <x:c r="B20" s="7" t="str">
        <x:v>RM-019</x:v>
      </x:c>
      <x:c r="C20" s="7" t="str">
        <x:v>Blue Package</x:v>
      </x:c>
      <x:c r="D20" s="7" t="str">
        <x:v>Package</x:v>
      </x:c>
      <x:c r="E20" s="32" t="n">
        <x:v>1.11</x:v>
      </x:c>
      <x:c r="F20" s="34" t="n">
        <x:v>3.44</x:v>
      </x:c>
      <x:c r="G20" s="30" t="n">
        <x:v>0.028000000000000004</x:v>
      </x:c>
      <x:c r="H20" s="36" t="n">
        <x:f>E20*F20*(1+G20)</x:f>
        <x:v>3.9253152000000004</x:v>
      </x:c>
    </x:row>
    <x:row r="21">
      <x:c r="A21" s="6" t="str">
        <x:v>FG-004</x:v>
      </x:c>
      <x:c r="B21" s="7" t="str">
        <x:v>RM-020</x:v>
      </x:c>
      <x:c r="C21" s="7" t="str">
        <x:v>Blue Label / Closure</x:v>
      </x:c>
      <x:c r="D21" s="7" t="str">
        <x:v>Label / Closure</x:v>
      </x:c>
      <x:c r="E21" s="32" t="n">
        <x:v>1.165</x:v>
      </x:c>
      <x:c r="F21" s="34" t="n">
        <x:v>0.9774999999999999</x:v>
      </x:c>
      <x:c r="G21" s="30" t="n">
        <x:v>0.01</x:v>
      </x:c>
      <x:c r="H21" s="36" t="n">
        <x:f>E21*F21*(1+G21)</x:f>
        <x:v>1.1501753749999999</x:v>
      </x:c>
    </x:row>
    <x:row r="22">
      <x:c r="A22" s="6" t="str">
        <x:v>FG-005</x:v>
      </x:c>
      <x:c r="B22" s="7" t="str">
        <x:v>RM-021</x:v>
      </x:c>
      <x:c r="C22" s="7" t="str">
        <x:v>Gray Resin / Base</x:v>
      </x:c>
      <x:c r="D22" s="7" t="str">
        <x:v>Resin / Base</x:v>
      </x:c>
      <x:c r="E22" s="32" t="n">
        <x:v>1</x:v>
      </x:c>
      <x:c r="F22" s="34" t="n">
        <x:v>2.4724999999999997</x:v>
      </x:c>
      <x:c r="G22" s="30" t="n">
        <x:v>0.016</x:v>
      </x:c>
      <x:c r="H22" s="36" t="n">
        <x:f>E22*F22*(1+G22)</x:f>
        <x:v>2.5120599999999995</x:v>
      </x:c>
    </x:row>
    <x:row r="23">
      <x:c r="A23" s="6" t="str">
        <x:v>FG-005</x:v>
      </x:c>
      <x:c r="B23" s="7" t="str">
        <x:v>RM-022</x:v>
      </x:c>
      <x:c r="C23" s="7" t="str">
        <x:v>Gray Pigment / Filler</x:v>
      </x:c>
      <x:c r="D23" s="7" t="str">
        <x:v>Pigment / Filler</x:v>
      </x:c>
      <x:c r="E23" s="32" t="n">
        <x:v>0.2954</x:v>
      </x:c>
      <x:c r="F23" s="34" t="n">
        <x:v>1.6099999999999999</x:v>
      </x:c>
      <x:c r="G23" s="30" t="n">
        <x:v>0.022</x:v>
      </x:c>
      <x:c r="H23" s="36" t="n">
        <x:f>E23*F23*(1+G23)</x:f>
        <x:v>0.486057068</x:v>
      </x:c>
    </x:row>
    <x:row r="24">
      <x:c r="A24" s="6" t="str">
        <x:v>FG-005</x:v>
      </x:c>
      <x:c r="B24" s="7" t="str">
        <x:v>RM-023</x:v>
      </x:c>
      <x:c r="C24" s="7" t="str">
        <x:v>Gray Additive</x:v>
      </x:c>
      <x:c r="D24" s="7" t="str">
        <x:v>Additive</x:v>
      </x:c>
      <x:c r="E24" s="32" t="n">
        <x:v>0.0888</x:v>
      </x:c>
      <x:c r="F24" s="34" t="n">
        <x:v>7.9625</x:v>
      </x:c>
      <x:c r="G24" s="30" t="n">
        <x:v>0.028000000000000004</x:v>
      </x:c>
      <x:c r="H24" s="36" t="n">
        <x:f>E24*F24*(1+G24)</x:f>
        <x:v>0.7268679600000001</x:v>
      </x:c>
    </x:row>
    <x:row r="25">
      <x:c r="A25" s="6" t="str">
        <x:v>FG-005</x:v>
      </x:c>
      <x:c r="B25" s="7" t="str">
        <x:v>RM-024</x:v>
      </x:c>
      <x:c r="C25" s="7" t="str">
        <x:v>Gray Package</x:v>
      </x:c>
      <x:c r="D25" s="7" t="str">
        <x:v>Package</x:v>
      </x:c>
      <x:c r="E25" s="32" t="n">
        <x:v>1.165</x:v>
      </x:c>
      <x:c r="F25" s="34" t="n">
        <x:v>4.16</x:v>
      </x:c>
      <x:c r="G25" s="30" t="n">
        <x:v>0.01</x:v>
      </x:c>
      <x:c r="H25" s="36" t="n">
        <x:f>E25*F25*(1+G25)</x:f>
        <x:v>4.894864</x:v>
      </x:c>
    </x:row>
    <x:row r="26">
      <x:c r="A26" s="6" t="str">
        <x:v>FG-005</x:v>
      </x:c>
      <x:c r="B26" s="7" t="str">
        <x:v>RM-025</x:v>
      </x:c>
      <x:c r="C26" s="7" t="str">
        <x:v>Gray Label / Closure</x:v>
      </x:c>
      <x:c r="D26" s="7" t="str">
        <x:v>Label / Closure</x:v>
      </x:c>
      <x:c r="E26" s="32" t="n">
        <x:v>1.22</x:v>
      </x:c>
      <x:c r="F26" s="34" t="n">
        <x:v>1.16875</x:v>
      </x:c>
      <x:c r="G26" s="30" t="n">
        <x:v>0.016</x:v>
      </x:c>
      <x:c r="H26" s="36" t="n">
        <x:f>E26*F26*(1+G26)</x:f>
        <x:v>1.4486890000000001</x:v>
      </x:c>
    </x:row>
    <x:row r="27">
      <x:c r="A27" s="6" t="str">
        <x:v>FG-006</x:v>
      </x:c>
      <x:c r="B27" s="7" t="str">
        <x:v>RM-026</x:v>
      </x:c>
      <x:c r="C27" s="7" t="str">
        <x:v>Red Resin / Base</x:v>
      </x:c>
      <x:c r="D27" s="7" t="str">
        <x:v>Resin / Base</x:v>
      </x:c>
      <x:c r="E27" s="32" t="n">
        <x:v>1.055</x:v>
      </x:c>
      <x:c r="F27" s="34" t="n">
        <x:v>2.9899999999999998</x:v>
      </x:c>
      <x:c r="G27" s="30" t="n">
        <x:v>0.022</x:v>
      </x:c>
      <x:c r="H27" s="36" t="n">
        <x:f>E27*F27*(1+G27)</x:f>
        <x:v>3.2238479</x:v>
      </x:c>
    </x:row>
    <x:row r="28">
      <x:c r="A28" s="6" t="str">
        <x:v>FG-006</x:v>
      </x:c>
      <x:c r="B28" s="7" t="str">
        <x:v>RM-027</x:v>
      </x:c>
      <x:c r="C28" s="7" t="str">
        <x:v>Red Pigment / Filler</x:v>
      </x:c>
      <x:c r="D28" s="7" t="str">
        <x:v>Pigment / Filler</x:v>
      </x:c>
      <x:c r="E28" s="32" t="n">
        <x:v>0.3108000000000001</x:v>
      </x:c>
      <x:c r="F28" s="34" t="n">
        <x:v>1.9249999999999998</x:v>
      </x:c>
      <x:c r="G28" s="30" t="n">
        <x:v>0.028000000000000004</x:v>
      </x:c>
      <x:c r="H28" s="36" t="n">
        <x:f>E28*F28*(1+G28)</x:f>
        <x:v>0.6150421200000001</x:v>
      </x:c>
    </x:row>
    <x:row r="29">
      <x:c r="A29" s="6" t="str">
        <x:v>FG-006</x:v>
      </x:c>
      <x:c r="B29" s="7" t="str">
        <x:v>RM-028</x:v>
      </x:c>
      <x:c r="C29" s="7" t="str">
        <x:v>Red Additive</x:v>
      </x:c>
      <x:c r="D29" s="7" t="str">
        <x:v>Additive</x:v>
      </x:c>
      <x:c r="E29" s="32" t="n">
        <x:v>0.0932</x:v>
      </x:c>
      <x:c r="F29" s="34" t="n">
        <x:v>9.424999999999999</x:v>
      </x:c>
      <x:c r="G29" s="30" t="n">
        <x:v>0.01</x:v>
      </x:c>
      <x:c r="H29" s="36" t="n">
        <x:f>E29*F29*(1+G29)</x:f>
        <x:v>0.8871940999999999</x:v>
      </x:c>
    </x:row>
    <x:row r="30">
      <x:c r="A30" s="6" t="str">
        <x:v>FG-006</x:v>
      </x:c>
      <x:c r="B30" s="7" t="str">
        <x:v>RM-029</x:v>
      </x:c>
      <x:c r="C30" s="7" t="str">
        <x:v>Red Package</x:v>
      </x:c>
      <x:c r="D30" s="7" t="str">
        <x:v>Package</x:v>
      </x:c>
      <x:c r="E30" s="32" t="n">
        <x:v>1.22</x:v>
      </x:c>
      <x:c r="F30" s="34" t="n">
        <x:v>3.2</x:v>
      </x:c>
      <x:c r="G30" s="30" t="n">
        <x:v>0.016</x:v>
      </x:c>
      <x:c r="H30" s="36" t="n">
        <x:f>E30*F30*(1+G30)</x:f>
        <x:v>3.9664639999999998</x:v>
      </x:c>
    </x:row>
    <x:row r="31">
      <x:c r="A31" s="6" t="str">
        <x:v>FG-006</x:v>
      </x:c>
      <x:c r="B31" s="7" t="str">
        <x:v>RM-030</x:v>
      </x:c>
      <x:c r="C31" s="7" t="str">
        <x:v>Red Label / Closure</x:v>
      </x:c>
      <x:c r="D31" s="7" t="str">
        <x:v>Label / Closure</x:v>
      </x:c>
      <x:c r="E31" s="32" t="n">
        <x:v>1</x:v>
      </x:c>
      <x:c r="F31" s="34" t="n">
        <x:v>0.91375</x:v>
      </x:c>
      <x:c r="G31" s="30" t="n">
        <x:v>0.022</x:v>
      </x:c>
      <x:c r="H31" s="36" t="n">
        <x:f>E31*F31*(1+G31)</x:f>
        <x:v>0.9338525</x:v>
      </x:c>
    </x:row>
    <x:row r="32">
      <x:c r="A32" s="6" t="str">
        <x:v>FG-007</x:v>
      </x:c>
      <x:c r="B32" s="7" t="str">
        <x:v>RM-031</x:v>
      </x:c>
      <x:c r="C32" s="7" t="str">
        <x:v>White Resin / Base</x:v>
      </x:c>
      <x:c r="D32" s="7" t="str">
        <x:v>Resin / Base</x:v>
      </x:c>
      <x:c r="E32" s="32" t="n">
        <x:v>1.11</x:v>
      </x:c>
      <x:c r="F32" s="34" t="n">
        <x:v>2.3</x:v>
      </x:c>
      <x:c r="G32" s="30" t="n">
        <x:v>0.028000000000000004</x:v>
      </x:c>
      <x:c r="H32" s="36" t="n">
        <x:f>E32*F32*(1+G32)</x:f>
        <x:v>2.624484</x:v>
      </x:c>
    </x:row>
    <x:row r="33">
      <x:c r="A33" s="6" t="str">
        <x:v>FG-007</x:v>
      </x:c>
      <x:c r="B33" s="7" t="str">
        <x:v>RM-032</x:v>
      </x:c>
      <x:c r="C33" s="7" t="str">
        <x:v>White Pigment / Filler</x:v>
      </x:c>
      <x:c r="D33" s="7" t="str">
        <x:v>Pigment / Filler</x:v>
      </x:c>
      <x:c r="E33" s="32" t="n">
        <x:v>0.32620000000000005</x:v>
      </x:c>
      <x:c r="F33" s="34" t="n">
        <x:v>1.505</x:v>
      </x:c>
      <x:c r="G33" s="30" t="n">
        <x:v>0.01</x:v>
      </x:c>
      <x:c r="H33" s="36" t="n">
        <x:f>E33*F33*(1+G33)</x:f>
        <x:v>0.49584031</x:v>
      </x:c>
    </x:row>
    <x:row r="34">
      <x:c r="A34" s="6" t="str">
        <x:v>FG-007</x:v>
      </x:c>
      <x:c r="B34" s="7" t="str">
        <x:v>RM-033</x:v>
      </x:c>
      <x:c r="C34" s="7" t="str">
        <x:v>White Additive</x:v>
      </x:c>
      <x:c r="D34" s="7" t="str">
        <x:v>Additive</x:v>
      </x:c>
      <x:c r="E34" s="32" t="n">
        <x:v>0.0976</x:v>
      </x:c>
      <x:c r="F34" s="34" t="n">
        <x:v>7.475</x:v>
      </x:c>
      <x:c r="G34" s="30" t="n">
        <x:v>0.016</x:v>
      </x:c>
      <x:c r="H34" s="36" t="n">
        <x:f>E34*F34*(1+G34)</x:f>
        <x:v>0.74123296</x:v>
      </x:c>
    </x:row>
    <x:row r="35">
      <x:c r="A35" s="6" t="str">
        <x:v>FG-007</x:v>
      </x:c>
      <x:c r="B35" s="7" t="str">
        <x:v>RM-034</x:v>
      </x:c>
      <x:c r="C35" s="7" t="str">
        <x:v>White Package</x:v>
      </x:c>
      <x:c r="D35" s="7" t="str">
        <x:v>Package</x:v>
      </x:c>
      <x:c r="E35" s="32" t="n">
        <x:v>1</x:v>
      </x:c>
      <x:c r="F35" s="34" t="n">
        <x:v>3.9200000000000004</x:v>
      </x:c>
      <x:c r="G35" s="30" t="n">
        <x:v>0.022</x:v>
      </x:c>
      <x:c r="H35" s="36" t="n">
        <x:f>E35*F35*(1+G35)</x:f>
        <x:v>4.00624</x:v>
      </x:c>
    </x:row>
    <x:row r="36">
      <x:c r="A36" s="6" t="str">
        <x:v>FG-007</x:v>
      </x:c>
      <x:c r="B36" s="7" t="str">
        <x:v>RM-035</x:v>
      </x:c>
      <x:c r="C36" s="7" t="str">
        <x:v>White Label / Closure</x:v>
      </x:c>
      <x:c r="D36" s="7" t="str">
        <x:v>Label / Closure</x:v>
      </x:c>
      <x:c r="E36" s="32" t="n">
        <x:v>1.055</x:v>
      </x:c>
      <x:c r="F36" s="34" t="n">
        <x:v>1.105</x:v>
      </x:c>
      <x:c r="G36" s="30" t="n">
        <x:v>0.028000000000000004</x:v>
      </x:c>
      <x:c r="H36" s="36" t="n">
        <x:f>E36*F36*(1+G36)</x:f>
        <x:v>1.1984167000000001</x:v>
      </x:c>
    </x:row>
    <x:row r="37">
      <x:c r="A37" s="6" t="str">
        <x:v>FG-008</x:v>
      </x:c>
      <x:c r="B37" s="7" t="str">
        <x:v>RM-036</x:v>
      </x:c>
      <x:c r="C37" s="7" t="str">
        <x:v>Black Resin / Base</x:v>
      </x:c>
      <x:c r="D37" s="7" t="str">
        <x:v>Resin / Base</x:v>
      </x:c>
      <x:c r="E37" s="32" t="n">
        <x:v>1.165</x:v>
      </x:c>
      <x:c r="F37" s="34" t="n">
        <x:v>2.8175</x:v>
      </x:c>
      <x:c r="G37" s="30" t="n">
        <x:v>0.01</x:v>
      </x:c>
      <x:c r="H37" s="36" t="n">
        <x:f>E37*F37*(1+G37)</x:f>
        <x:v>3.315211375</x:v>
      </x:c>
    </x:row>
    <x:row r="38">
      <x:c r="A38" s="6" t="str">
        <x:v>FG-008</x:v>
      </x:c>
      <x:c r="B38" s="7" t="str">
        <x:v>RM-037</x:v>
      </x:c>
      <x:c r="C38" s="7" t="str">
        <x:v>Black Pigment / Filler</x:v>
      </x:c>
      <x:c r="D38" s="7" t="str">
        <x:v>Pigment / Filler</x:v>
      </x:c>
      <x:c r="E38" s="32" t="n">
        <x:v>0.3416</x:v>
      </x:c>
      <x:c r="F38" s="34" t="n">
        <x:v>1.8199999999999998</x:v>
      </x:c>
      <x:c r="G38" s="30" t="n">
        <x:v>0.016</x:v>
      </x:c>
      <x:c r="H38" s="36" t="n">
        <x:f>E38*F38*(1+G38)</x:f>
        <x:v>0.631659392</x:v>
      </x:c>
    </x:row>
    <x:row r="39">
      <x:c r="A39" s="6" t="str">
        <x:v>FG-008</x:v>
      </x:c>
      <x:c r="B39" s="7" t="str">
        <x:v>RM-038</x:v>
      </x:c>
      <x:c r="C39" s="7" t="str">
        <x:v>Black Additive</x:v>
      </x:c>
      <x:c r="D39" s="7" t="str">
        <x:v>Additive</x:v>
      </x:c>
      <x:c r="E39" s="32" t="n">
        <x:v>0.08</x:v>
      </x:c>
      <x:c r="F39" s="34" t="n">
        <x:v>8.9375</x:v>
      </x:c>
      <x:c r="G39" s="30" t="n">
        <x:v>0.022</x:v>
      </x:c>
      <x:c r="H39" s="36" t="n">
        <x:f>E39*F39*(1+G39)</x:f>
        <x:v>0.73073</x:v>
      </x:c>
    </x:row>
    <x:row r="40">
      <x:c r="A40" s="6" t="str">
        <x:v>FG-008</x:v>
      </x:c>
      <x:c r="B40" s="7" t="str">
        <x:v>RM-039</x:v>
      </x:c>
      <x:c r="C40" s="7" t="str">
        <x:v>Black Package</x:v>
      </x:c>
      <x:c r="D40" s="7" t="str">
        <x:v>Package</x:v>
      </x:c>
      <x:c r="E40" s="32" t="n">
        <x:v>1.055</x:v>
      </x:c>
      <x:c r="F40" s="34" t="n">
        <x:v>4.64</x:v>
      </x:c>
      <x:c r="G40" s="30" t="n">
        <x:v>0.028000000000000004</x:v>
      </x:c>
      <x:c r="H40" s="36" t="n">
        <x:f>E40*F40*(1+G40)</x:f>
        <x:v>5.032265599999999</x:v>
      </x:c>
    </x:row>
    <x:row r="41">
      <x:c r="A41" s="6" t="str">
        <x:v>FG-008</x:v>
      </x:c>
      <x:c r="B41" s="7" t="str">
        <x:v>RM-040</x:v>
      </x:c>
      <x:c r="C41" s="7" t="str">
        <x:v>Black Label / Closure</x:v>
      </x:c>
      <x:c r="D41" s="7" t="str">
        <x:v>Label / Closure</x:v>
      </x:c>
      <x:c r="E41" s="32" t="n">
        <x:v>1.11</x:v>
      </x:c>
      <x:c r="F41" s="34" t="n">
        <x:v>0.85</x:v>
      </x:c>
      <x:c r="G41" s="30" t="n">
        <x:v>0.01</x:v>
      </x:c>
      <x:c r="H41" s="36" t="n">
        <x:f>E41*F41*(1+G41)</x:f>
        <x:v>0.952935</x:v>
      </x:c>
    </x:row>
    <x:row r="42">
      <x:c r="A42" s="6" t="str">
        <x:v>FG-009</x:v>
      </x:c>
      <x:c r="B42" s="7" t="str">
        <x:v>RM-041</x:v>
      </x:c>
      <x:c r="C42" s="7" t="str">
        <x:v>Tan Resin / Base</x:v>
      </x:c>
      <x:c r="D42" s="7" t="str">
        <x:v>Resin / Base</x:v>
      </x:c>
      <x:c r="E42" s="32" t="n">
        <x:v>1.22</x:v>
      </x:c>
      <x:c r="F42" s="34" t="n">
        <x:v>3.3349999999999995</x:v>
      </x:c>
      <x:c r="G42" s="30" t="n">
        <x:v>0.016</x:v>
      </x:c>
      <x:c r="H42" s="36" t="n">
        <x:f>E42*F42*(1+G42)</x:f>
        <x:v>4.1337991999999995</x:v>
      </x:c>
    </x:row>
    <x:row r="43">
      <x:c r="A43" s="6" t="str">
        <x:v>FG-009</x:v>
      </x:c>
      <x:c r="B43" s="7" t="str">
        <x:v>RM-042</x:v>
      </x:c>
      <x:c r="C43" s="7" t="str">
        <x:v>Tan Pigment / Filler</x:v>
      </x:c>
      <x:c r="D43" s="7" t="str">
        <x:v>Pigment / Filler</x:v>
      </x:c>
      <x:c r="E43" s="32" t="n">
        <x:v>0.28</x:v>
      </x:c>
      <x:c r="F43" s="34" t="n">
        <x:v>1.4</x:v>
      </x:c>
      <x:c r="G43" s="30" t="n">
        <x:v>0.022</x:v>
      </x:c>
      <x:c r="H43" s="36" t="n">
        <x:f>E43*F43*(1+G43)</x:f>
        <x:v>0.40062400000000004</x:v>
      </x:c>
    </x:row>
    <x:row r="44">
      <x:c r="A44" s="6" t="str">
        <x:v>FG-009</x:v>
      </x:c>
      <x:c r="B44" s="7" t="str">
        <x:v>RM-043</x:v>
      </x:c>
      <x:c r="C44" s="7" t="str">
        <x:v>Tan Additive</x:v>
      </x:c>
      <x:c r="D44" s="7" t="str">
        <x:v>Additive</x:v>
      </x:c>
      <x:c r="E44" s="32" t="n">
        <x:v>0.0844</x:v>
      </x:c>
      <x:c r="F44" s="34" t="n">
        <x:v>6.9875</x:v>
      </x:c>
      <x:c r="G44" s="30" t="n">
        <x:v>0.028000000000000004</x:v>
      </x:c>
      <x:c r="H44" s="36" t="n">
        <x:f>E44*F44*(1+G44)</x:f>
        <x:v>0.6062578599999999</x:v>
      </x:c>
    </x:row>
    <x:row r="45">
      <x:c r="A45" s="6" t="str">
        <x:v>FG-009</x:v>
      </x:c>
      <x:c r="B45" s="7" t="str">
        <x:v>RM-044</x:v>
      </x:c>
      <x:c r="C45" s="7" t="str">
        <x:v>Tan Package</x:v>
      </x:c>
      <x:c r="D45" s="7" t="str">
        <x:v>Package</x:v>
      </x:c>
      <x:c r="E45" s="32" t="n">
        <x:v>1.11</x:v>
      </x:c>
      <x:c r="F45" s="34" t="n">
        <x:v>3.6799999999999997</x:v>
      </x:c>
      <x:c r="G45" s="30" t="n">
        <x:v>0.01</x:v>
      </x:c>
      <x:c r="H45" s="36" t="n">
        <x:f>E45*F45*(1+G45)</x:f>
        <x:v>4.125648000000001</x:v>
      </x:c>
    </x:row>
    <x:row r="46">
      <x:c r="A46" s="6" t="str">
        <x:v>FG-009</x:v>
      </x:c>
      <x:c r="B46" s="7" t="str">
        <x:v>RM-045</x:v>
      </x:c>
      <x:c r="C46" s="7" t="str">
        <x:v>Tan Label / Closure</x:v>
      </x:c>
      <x:c r="D46" s="7" t="str">
        <x:v>Label / Closure</x:v>
      </x:c>
      <x:c r="E46" s="32" t="n">
        <x:v>1.165</x:v>
      </x:c>
      <x:c r="F46" s="34" t="n">
        <x:v>1.04125</x:v>
      </x:c>
      <x:c r="G46" s="30" t="n">
        <x:v>0.016</x:v>
      </x:c>
      <x:c r="H46" s="36" t="n">
        <x:f>E46*F46*(1+G46)</x:f>
        <x:v>1.23246515</x:v>
      </x:c>
    </x:row>
    <x:row r="47">
      <x:c r="A47" s="6" t="str">
        <x:v>FG-010</x:v>
      </x:c>
      <x:c r="B47" s="7" t="str">
        <x:v>RM-046</x:v>
      </x:c>
      <x:c r="C47" s="7" t="str">
        <x:v>Blue Resin / Base</x:v>
      </x:c>
      <x:c r="D47" s="7" t="str">
        <x:v>Resin / Base</x:v>
      </x:c>
      <x:c r="E47" s="32" t="n">
        <x:v>1</x:v>
      </x:c>
      <x:c r="F47" s="34" t="n">
        <x:v>2.6449999999999996</x:v>
      </x:c>
      <x:c r="G47" s="30" t="n">
        <x:v>0.022</x:v>
      </x:c>
      <x:c r="H47" s="36" t="n">
        <x:f>E47*F47*(1+G47)</x:f>
        <x:v>2.7031899999999998</x:v>
      </x:c>
    </x:row>
    <x:row r="48">
      <x:c r="A48" s="6" t="str">
        <x:v>FG-010</x:v>
      </x:c>
      <x:c r="B48" s="7" t="str">
        <x:v>RM-047</x:v>
      </x:c>
      <x:c r="C48" s="7" t="str">
        <x:v>Blue Pigment / Filler</x:v>
      </x:c>
      <x:c r="D48" s="7" t="str">
        <x:v>Pigment / Filler</x:v>
      </x:c>
      <x:c r="E48" s="32" t="n">
        <x:v>0.2954</x:v>
      </x:c>
      <x:c r="F48" s="34" t="n">
        <x:v>1.715</x:v>
      </x:c>
      <x:c r="G48" s="30" t="n">
        <x:v>0.028000000000000004</x:v>
      </x:c>
      <x:c r="H48" s="36" t="n">
        <x:f>E48*F48*(1+G48)</x:f>
        <x:v>0.5207961080000001</x:v>
      </x:c>
    </x:row>
    <x:row r="49">
      <x:c r="A49" s="6" t="str">
        <x:v>FG-010</x:v>
      </x:c>
      <x:c r="B49" s="7" t="str">
        <x:v>RM-048</x:v>
      </x:c>
      <x:c r="C49" s="7" t="str">
        <x:v>Blue Additive</x:v>
      </x:c>
      <x:c r="D49" s="7" t="str">
        <x:v>Additive</x:v>
      </x:c>
      <x:c r="E49" s="32" t="n">
        <x:v>0.0888</x:v>
      </x:c>
      <x:c r="F49" s="34" t="n">
        <x:v>8.450000000000001</x:v>
      </x:c>
      <x:c r="G49" s="30" t="n">
        <x:v>0.01</x:v>
      </x:c>
      <x:c r="H49" s="36" t="n">
        <x:f>E49*F49*(1+G49)</x:f>
        <x:v>0.7578636000000002</x:v>
      </x:c>
    </x:row>
    <x:row r="50">
      <x:c r="A50" s="6" t="str">
        <x:v>FG-010</x:v>
      </x:c>
      <x:c r="B50" s="7" t="str">
        <x:v>RM-049</x:v>
      </x:c>
      <x:c r="C50" s="7" t="str">
        <x:v>Blue Package</x:v>
      </x:c>
      <x:c r="D50" s="7" t="str">
        <x:v>Package</x:v>
      </x:c>
      <x:c r="E50" s="32" t="n">
        <x:v>1.165</x:v>
      </x:c>
      <x:c r="F50" s="34" t="n">
        <x:v>4.4</x:v>
      </x:c>
      <x:c r="G50" s="30" t="n">
        <x:v>0.016</x:v>
      </x:c>
      <x:c r="H50" s="36" t="n">
        <x:f>E50*F50*(1+G50)</x:f>
        <x:v>5.208016000000001</x:v>
      </x:c>
    </x:row>
    <x:row r="51">
      <x:c r="A51" s="6" t="str">
        <x:v>FG-010</x:v>
      </x:c>
      <x:c r="B51" s="7" t="str">
        <x:v>RM-050</x:v>
      </x:c>
      <x:c r="C51" s="7" t="str">
        <x:v>Blue Label / Closure</x:v>
      </x:c>
      <x:c r="D51" s="7" t="str">
        <x:v>Label / Closure</x:v>
      </x:c>
      <x:c r="E51" s="32" t="n">
        <x:v>1.22</x:v>
      </x:c>
      <x:c r="F51" s="34" t="n">
        <x:v>1.2325</x:v>
      </x:c>
      <x:c r="G51" s="30" t="n">
        <x:v>0.022</x:v>
      </x:c>
      <x:c r="H51" s="36" t="n">
        <x:f>E51*F51*(1+G51)</x:f>
        <x:v>1.5367302999999999</x:v>
      </x:c>
    </x:row>
    <x:row r="52">
      <x:c r="A52" s="6" t="str">
        <x:v>FG-011</x:v>
      </x:c>
      <x:c r="B52" s="7" t="str">
        <x:v>RM-051</x:v>
      </x:c>
      <x:c r="C52" s="7" t="str">
        <x:v>Gray Resin / Base</x:v>
      </x:c>
      <x:c r="D52" s="7" t="str">
        <x:v>Resin / Base</x:v>
      </x:c>
      <x:c r="E52" s="32" t="n">
        <x:v>1.055</x:v>
      </x:c>
      <x:c r="F52" s="34" t="n">
        <x:v>3.1624999999999996</x:v>
      </x:c>
      <x:c r="G52" s="30" t="n">
        <x:v>0.028000000000000004</x:v>
      </x:c>
      <x:c r="H52" s="36" t="n">
        <x:f>E52*F52*(1+G52)</x:f>
        <x:v>3.429857749999999</x:v>
      </x:c>
    </x:row>
    <x:row r="53">
      <x:c r="A53" s="6" t="str">
        <x:v>FG-011</x:v>
      </x:c>
      <x:c r="B53" s="7" t="str">
        <x:v>RM-052</x:v>
      </x:c>
      <x:c r="C53" s="7" t="str">
        <x:v>Gray Pigment / Filler</x:v>
      </x:c>
      <x:c r="D53" s="7" t="str">
        <x:v>Pigment / Filler</x:v>
      </x:c>
      <x:c r="E53" s="32" t="n">
        <x:v>0.3108000000000001</x:v>
      </x:c>
      <x:c r="F53" s="34" t="n">
        <x:v>2.03</x:v>
      </x:c>
      <x:c r="G53" s="30" t="n">
        <x:v>0.01</x:v>
      </x:c>
      <x:c r="H53" s="36" t="n">
        <x:f>E53*F53*(1+G53)</x:f>
        <x:v>0.63723324</x:v>
      </x:c>
    </x:row>
    <x:row r="54">
      <x:c r="A54" s="6" t="str">
        <x:v>FG-011</x:v>
      </x:c>
      <x:c r="B54" s="7" t="str">
        <x:v>RM-053</x:v>
      </x:c>
      <x:c r="C54" s="7" t="str">
        <x:v>Gray Additive</x:v>
      </x:c>
      <x:c r="D54" s="7" t="str">
        <x:v>Additive</x:v>
      </x:c>
      <x:c r="E54" s="32" t="n">
        <x:v>0.0932</x:v>
      </x:c>
      <x:c r="F54" s="34" t="n">
        <x:v>6.5</x:v>
      </x:c>
      <x:c r="G54" s="30" t="n">
        <x:v>0.016</x:v>
      </x:c>
      <x:c r="H54" s="36" t="n">
        <x:f>E54*F54*(1+G54)</x:f>
        <x:v>0.6154928000000001</x:v>
      </x:c>
    </x:row>
    <x:row r="55">
      <x:c r="A55" s="6" t="str">
        <x:v>FG-011</x:v>
      </x:c>
      <x:c r="B55" s="7" t="str">
        <x:v>RM-054</x:v>
      </x:c>
      <x:c r="C55" s="7" t="str">
        <x:v>Gray Package</x:v>
      </x:c>
      <x:c r="D55" s="7" t="str">
        <x:v>Package</x:v>
      </x:c>
      <x:c r="E55" s="32" t="n">
        <x:v>1.22</x:v>
      </x:c>
      <x:c r="F55" s="34" t="n">
        <x:v>3.44</x:v>
      </x:c>
      <x:c r="G55" s="30" t="n">
        <x:v>0.022</x:v>
      </x:c>
      <x:c r="H55" s="36" t="n">
        <x:f>E55*F55*(1+G55)</x:f>
        <x:v>4.2891296</x:v>
      </x:c>
    </x:row>
    <x:row r="56">
      <x:c r="A56" s="6" t="str">
        <x:v>FG-011</x:v>
      </x:c>
      <x:c r="B56" s="7" t="str">
        <x:v>RM-055</x:v>
      </x:c>
      <x:c r="C56" s="7" t="str">
        <x:v>Gray Label / Closure</x:v>
      </x:c>
      <x:c r="D56" s="7" t="str">
        <x:v>Label / Closure</x:v>
      </x:c>
      <x:c r="E56" s="32" t="n">
        <x:v>1</x:v>
      </x:c>
      <x:c r="F56" s="34" t="n">
        <x:v>0.9774999999999999</x:v>
      </x:c>
      <x:c r="G56" s="30" t="n">
        <x:v>0.028000000000000004</x:v>
      </x:c>
      <x:c r="H56" s="36" t="n">
        <x:f>E56*F56*(1+G56)</x:f>
        <x:v>1.00487</x:v>
      </x:c>
    </x:row>
    <x:row r="57">
      <x:c r="A57" s="6" t="str">
        <x:v>FG-012</x:v>
      </x:c>
      <x:c r="B57" s="7" t="str">
        <x:v>RM-056</x:v>
      </x:c>
      <x:c r="C57" s="7" t="str">
        <x:v>Red Resin / Base</x:v>
      </x:c>
      <x:c r="D57" s="7" t="str">
        <x:v>Resin / Base</x:v>
      </x:c>
      <x:c r="E57" s="32" t="n">
        <x:v>1.11</x:v>
      </x:c>
      <x:c r="F57" s="34" t="n">
        <x:v>2.4724999999999997</x:v>
      </x:c>
      <x:c r="G57" s="30" t="n">
        <x:v>0.01</x:v>
      </x:c>
      <x:c r="H57" s="36" t="n">
        <x:f>E57*F57*(1+G57)</x:f>
        <x:v>2.77191975</x:v>
      </x:c>
    </x:row>
    <x:row r="58">
      <x:c r="A58" s="6" t="str">
        <x:v>FG-012</x:v>
      </x:c>
      <x:c r="B58" s="7" t="str">
        <x:v>RM-057</x:v>
      </x:c>
      <x:c r="C58" s="7" t="str">
        <x:v>Red Pigment / Filler</x:v>
      </x:c>
      <x:c r="D58" s="7" t="str">
        <x:v>Pigment / Filler</x:v>
      </x:c>
      <x:c r="E58" s="32" t="n">
        <x:v>0.32620000000000005</x:v>
      </x:c>
      <x:c r="F58" s="34" t="n">
        <x:v>1.6099999999999999</x:v>
      </x:c>
      <x:c r="G58" s="30" t="n">
        <x:v>0.016</x:v>
      </x:c>
      <x:c r="H58" s="36" t="n">
        <x:f>E58*F58*(1+G58)</x:f>
        <x:v>0.533584912</x:v>
      </x:c>
    </x:row>
    <x:row r="59">
      <x:c r="A59" s="6" t="str">
        <x:v>FG-012</x:v>
      </x:c>
      <x:c r="B59" s="7" t="str">
        <x:v>RM-058</x:v>
      </x:c>
      <x:c r="C59" s="7" t="str">
        <x:v>Red Additive</x:v>
      </x:c>
      <x:c r="D59" s="7" t="str">
        <x:v>Additive</x:v>
      </x:c>
      <x:c r="E59" s="32" t="n">
        <x:v>0.0976</x:v>
      </x:c>
      <x:c r="F59" s="34" t="n">
        <x:v>7.9625</x:v>
      </x:c>
      <x:c r="G59" s="30" t="n">
        <x:v>0.022</x:v>
      </x:c>
      <x:c r="H59" s="36" t="n">
        <x:f>E59*F59*(1+G59)</x:f>
        <x:v>0.79423708</x:v>
      </x:c>
    </x:row>
    <x:row r="60">
      <x:c r="A60" s="6" t="str">
        <x:v>FG-012</x:v>
      </x:c>
      <x:c r="B60" s="7" t="str">
        <x:v>RM-059</x:v>
      </x:c>
      <x:c r="C60" s="7" t="str">
        <x:v>Red Package</x:v>
      </x:c>
      <x:c r="D60" s="7" t="str">
        <x:v>Package</x:v>
      </x:c>
      <x:c r="E60" s="32" t="n">
        <x:v>1</x:v>
      </x:c>
      <x:c r="F60" s="34" t="n">
        <x:v>4.16</x:v>
      </x:c>
      <x:c r="G60" s="30" t="n">
        <x:v>0.028000000000000004</x:v>
      </x:c>
      <x:c r="H60" s="36" t="n">
        <x:f>E60*F60*(1+G60)</x:f>
        <x:v>4.27648</x:v>
      </x:c>
    </x:row>
    <x:row r="61">
      <x:c r="A61" s="6" t="str">
        <x:v>FG-012</x:v>
      </x:c>
      <x:c r="B61" s="7" t="str">
        <x:v>RM-060</x:v>
      </x:c>
      <x:c r="C61" s="7" t="str">
        <x:v>Red Label / Closure</x:v>
      </x:c>
      <x:c r="D61" s="7" t="str">
        <x:v>Label / Closure</x:v>
      </x:c>
      <x:c r="E61" s="32" t="n">
        <x:v>1.055</x:v>
      </x:c>
      <x:c r="F61" s="34" t="n">
        <x:v>1.16875</x:v>
      </x:c>
      <x:c r="G61" s="30" t="n">
        <x:v>0.01</x:v>
      </x:c>
      <x:c r="H61" s="36" t="n">
        <x:f>E61*F61*(1+G61)</x:f>
        <x:v>1.2453615624999999</x:v>
      </x:c>
    </x:row>
    <x:row r="62">
      <x:c r="A62" s="6" t="str">
        <x:v>FG-013</x:v>
      </x:c>
      <x:c r="B62" s="7" t="str">
        <x:v>RM-061</x:v>
      </x:c>
      <x:c r="C62" s="7" t="str">
        <x:v>White Resin / Base</x:v>
      </x:c>
      <x:c r="D62" s="7" t="str">
        <x:v>Resin / Base</x:v>
      </x:c>
      <x:c r="E62" s="32" t="n">
        <x:v>1.165</x:v>
      </x:c>
      <x:c r="F62" s="34" t="n">
        <x:v>2.7508</x:v>
      </x:c>
      <x:c r="G62" s="30" t="n">
        <x:v>0.016</x:v>
      </x:c>
      <x:c r="H62" s="36" t="n">
        <x:f>E62*F62*(1+G62)</x:f>
        <x:v>3.2559569120000003</x:v>
      </x:c>
    </x:row>
    <x:row r="63">
      <x:c r="A63" s="6" t="str">
        <x:v>FG-013</x:v>
      </x:c>
      <x:c r="B63" s="7" t="str">
        <x:v>RM-062</x:v>
      </x:c>
      <x:c r="C63" s="7" t="str">
        <x:v>White Pigment / Filler</x:v>
      </x:c>
      <x:c r="D63" s="7" t="str">
        <x:v>Pigment / Filler</x:v>
      </x:c>
      <x:c r="E63" s="32" t="n">
        <x:v>0.3416</x:v>
      </x:c>
      <x:c r="F63" s="34" t="n">
        <x:v>1.771</x:v>
      </x:c>
      <x:c r="G63" s="30" t="n">
        <x:v>0.022</x:v>
      </x:c>
      <x:c r="H63" s="36" t="n">
        <x:f>E63*F63*(1+G63)</x:f>
        <x:v>0.6182830192000001</x:v>
      </x:c>
    </x:row>
    <x:row r="64">
      <x:c r="A64" s="6" t="str">
        <x:v>FG-013</x:v>
      </x:c>
      <x:c r="B64" s="7" t="str">
        <x:v>RM-063</x:v>
      </x:c>
      <x:c r="C64" s="7" t="str">
        <x:v>White Additive</x:v>
      </x:c>
      <x:c r="D64" s="7" t="str">
        <x:v>Additive</x:v>
      </x:c>
      <x:c r="E64" s="32" t="n">
        <x:v>0.08</x:v>
      </x:c>
      <x:c r="F64" s="34" t="n">
        <x:v>8.671</x:v>
      </x:c>
      <x:c r="G64" s="30" t="n">
        <x:v>0.028000000000000004</x:v>
      </x:c>
      <x:c r="H64" s="36" t="n">
        <x:f>E64*F64*(1+G64)</x:f>
        <x:v>0.71310304</x:v>
      </x:c>
    </x:row>
    <x:row r="65">
      <x:c r="A65" s="6" t="str">
        <x:v>FG-013</x:v>
      </x:c>
      <x:c r="B65" s="7" t="str">
        <x:v>RM-064</x:v>
      </x:c>
      <x:c r="C65" s="7" t="str">
        <x:v>White Package</x:v>
      </x:c>
      <x:c r="D65" s="7" t="str">
        <x:v>Package</x:v>
      </x:c>
      <x:c r="E65" s="32" t="n">
        <x:v>1.055</x:v>
      </x:c>
      <x:c r="F65" s="34" t="n">
        <x:v>2.9440000000000004</x:v>
      </x:c>
      <x:c r="G65" s="30" t="n">
        <x:v>0.01</x:v>
      </x:c>
      <x:c r="H65" s="36" t="n">
        <x:f>E65*F65*(1+G65)</x:f>
        <x:v>3.1369792000000003</x:v>
      </x:c>
    </x:row>
    <x:row r="66">
      <x:c r="A66" s="6" t="str">
        <x:v>FG-013</x:v>
      </x:c>
      <x:c r="B66" s="7" t="str">
        <x:v>RM-065</x:v>
      </x:c>
      <x:c r="C66" s="7" t="str">
        <x:v>White Label / Closure</x:v>
      </x:c>
      <x:c r="D66" s="7" t="str">
        <x:v>Label / Closure</x:v>
      </x:c>
      <x:c r="E66" s="32" t="n">
        <x:v>1.11</x:v>
      </x:c>
      <x:c r="F66" s="34" t="n">
        <x:v>0.84065</x:v>
      </x:c>
      <x:c r="G66" s="30" t="n">
        <x:v>0.016</x:v>
      </x:c>
      <x:c r="H66" s="36" t="n">
        <x:f>E66*F66*(1+G66)</x:f>
        <x:v>0.9480514440000001</x:v>
      </x:c>
    </x:row>
    <x:row r="67">
      <x:c r="A67" s="6" t="str">
        <x:v>FG-014</x:v>
      </x:c>
      <x:c r="B67" s="7" t="str">
        <x:v>RM-066</x:v>
      </x:c>
      <x:c r="C67" s="7" t="str">
        <x:v>Black Resin / Base</x:v>
      </x:c>
      <x:c r="D67" s="7" t="str">
        <x:v>Resin / Base</x:v>
      </x:c>
      <x:c r="E67" s="32" t="n">
        <x:v>1.22</x:v>
      </x:c>
      <x:c r="F67" s="34" t="n">
        <x:v>2.116</x:v>
      </x:c>
      <x:c r="G67" s="30" t="n">
        <x:v>0.022</x:v>
      </x:c>
      <x:c r="H67" s="36" t="n">
        <x:f>E67*F67*(1+G67)</x:f>
        <x:v>2.63831344</x:v>
      </x:c>
    </x:row>
    <x:row r="68">
      <x:c r="A68" s="6" t="str">
        <x:v>FG-014</x:v>
      </x:c>
      <x:c r="B68" s="7" t="str">
        <x:v>RM-067</x:v>
      </x:c>
      <x:c r="C68" s="7" t="str">
        <x:v>Black Pigment / Filler</x:v>
      </x:c>
      <x:c r="D68" s="7" t="str">
        <x:v>Pigment / Filler</x:v>
      </x:c>
      <x:c r="E68" s="32" t="n">
        <x:v>0.28</x:v>
      </x:c>
      <x:c r="F68" s="34" t="n">
        <x:v>1.3846</x:v>
      </x:c>
      <x:c r="G68" s="30" t="n">
        <x:v>0.028000000000000004</x:v>
      </x:c>
      <x:c r="H68" s="36" t="n">
        <x:f>E68*F68*(1+G68)</x:f>
        <x:v>0.39854326400000006</x:v>
      </x:c>
    </x:row>
    <x:row r="69">
      <x:c r="A69" s="6" t="str">
        <x:v>FG-014</x:v>
      </x:c>
      <x:c r="B69" s="7" t="str">
        <x:v>RM-068</x:v>
      </x:c>
      <x:c r="C69" s="7" t="str">
        <x:v>Black Additive</x:v>
      </x:c>
      <x:c r="D69" s="7" t="str">
        <x:v>Additive</x:v>
      </x:c>
      <x:c r="E69" s="32" t="n">
        <x:v>0.0844</x:v>
      </x:c>
      <x:c r="F69" s="34" t="n">
        <x:v>6.877</x:v>
      </x:c>
      <x:c r="G69" s="30" t="n">
        <x:v>0.01</x:v>
      </x:c>
      <x:c r="H69" s="36" t="n">
        <x:f>E69*F69*(1+G69)</x:f>
        <x:v>0.5862229880000001</x:v>
      </x:c>
    </x:row>
    <x:row r="70">
      <x:c r="A70" s="6" t="str">
        <x:v>FG-014</x:v>
      </x:c>
      <x:c r="B70" s="7" t="str">
        <x:v>RM-069</x:v>
      </x:c>
      <x:c r="C70" s="7" t="str">
        <x:v>Black Package</x:v>
      </x:c>
      <x:c r="D70" s="7" t="str">
        <x:v>Package</x:v>
      </x:c>
      <x:c r="E70" s="32" t="n">
        <x:v>1.11</x:v>
      </x:c>
      <x:c r="F70" s="34" t="n">
        <x:v>3.6064000000000007</x:v>
      </x:c>
      <x:c r="G70" s="30" t="n">
        <x:v>0.016</x:v>
      </x:c>
      <x:c r="H70" s="36" t="n">
        <x:f>E70*F70*(1+G70)</x:f>
        <x:v>4.067153664000001</x:v>
      </x:c>
    </x:row>
    <x:row r="71">
      <x:c r="A71" s="6" t="str">
        <x:v>FG-014</x:v>
      </x:c>
      <x:c r="B71" s="7" t="str">
        <x:v>RM-070</x:v>
      </x:c>
      <x:c r="C71" s="7" t="str">
        <x:v>Black Label / Closure</x:v>
      </x:c>
      <x:c r="D71" s="7" t="str">
        <x:v>Label / Closure</x:v>
      </x:c>
      <x:c r="E71" s="32" t="n">
        <x:v>1.165</x:v>
      </x:c>
      <x:c r="F71" s="34" t="n">
        <x:v>1.0166</x:v>
      </x:c>
      <x:c r="G71" s="30" t="n">
        <x:v>0.022</x:v>
      </x:c>
      <x:c r="H71" s="36" t="n">
        <x:f>E71*F71*(1+G71)</x:f>
        <x:v>1.2103944580000001</x:v>
      </x:c>
    </x:row>
    <x:row r="72">
      <x:c r="A72" s="6" t="str">
        <x:v>FG-015</x:v>
      </x:c>
      <x:c r="B72" s="7" t="str">
        <x:v>RM-071</x:v>
      </x:c>
      <x:c r="C72" s="7" t="str">
        <x:v>Tan Resin / Base</x:v>
      </x:c>
      <x:c r="D72" s="7" t="str">
        <x:v>Resin / Base</x:v>
      </x:c>
      <x:c r="E72" s="32" t="n">
        <x:v>1</x:v>
      </x:c>
      <x:c r="F72" s="34" t="n">
        <x:v>2.5921</x:v>
      </x:c>
      <x:c r="G72" s="30" t="n">
        <x:v>0.028000000000000004</x:v>
      </x:c>
      <x:c r="H72" s="36" t="n">
        <x:f>E72*F72*(1+G72)</x:f>
        <x:v>2.6646788</x:v>
      </x:c>
    </x:row>
    <x:row r="73">
      <x:c r="A73" s="6" t="str">
        <x:v>FG-015</x:v>
      </x:c>
      <x:c r="B73" s="7" t="str">
        <x:v>RM-072</x:v>
      </x:c>
      <x:c r="C73" s="7" t="str">
        <x:v>Tan Pigment / Filler</x:v>
      </x:c>
      <x:c r="D73" s="7" t="str">
        <x:v>Pigment / Filler</x:v>
      </x:c>
      <x:c r="E73" s="32" t="n">
        <x:v>0.2954</x:v>
      </x:c>
      <x:c r="F73" s="34" t="n">
        <x:v>1.6743999999999999</x:v>
      </x:c>
      <x:c r="G73" s="30" t="n">
        <x:v>0.01</x:v>
      </x:c>
      <x:c r="H73" s="36" t="n">
        <x:f>E73*F73*(1+G73)</x:f>
        <x:v>0.49956393759999995</x:v>
      </x:c>
    </x:row>
    <x:row r="74">
      <x:c r="A74" s="6" t="str">
        <x:v>FG-015</x:v>
      </x:c>
      <x:c r="B74" s="7" t="str">
        <x:v>RM-073</x:v>
      </x:c>
      <x:c r="C74" s="7" t="str">
        <x:v>Tan Additive</x:v>
      </x:c>
      <x:c r="D74" s="7" t="str">
        <x:v>Additive</x:v>
      </x:c>
      <x:c r="E74" s="32" t="n">
        <x:v>0.0888</x:v>
      </x:c>
      <x:c r="F74" s="34" t="n">
        <x:v>8.2225</x:v>
      </x:c>
      <x:c r="G74" s="30" t="n">
        <x:v>0.016</x:v>
      </x:c>
      <x:c r="H74" s="36" t="n">
        <x:f>E74*F74*(1+G74)</x:f>
        <x:v>0.7418405280000001</x:v>
      </x:c>
    </x:row>
    <x:row r="75">
      <x:c r="A75" s="6" t="str">
        <x:v>FG-015</x:v>
      </x:c>
      <x:c r="B75" s="7" t="str">
        <x:v>RM-074</x:v>
      </x:c>
      <x:c r="C75" s="7" t="str">
        <x:v>Tan Package</x:v>
      </x:c>
      <x:c r="D75" s="7" t="str">
        <x:v>Package</x:v>
      </x:c>
      <x:c r="E75" s="32" t="n">
        <x:v>1.165</x:v>
      </x:c>
      <x:c r="F75" s="34" t="n">
        <x:v>4.2688</x:v>
      </x:c>
      <x:c r="G75" s="30" t="n">
        <x:v>0.022</x:v>
      </x:c>
      <x:c r="H75" s="36" t="n">
        <x:f>E75*F75*(1+G75)</x:f>
        <x:v>5.082561344</x:v>
      </x:c>
    </x:row>
    <x:row r="76">
      <x:c r="A76" s="6" t="str">
        <x:v>FG-015</x:v>
      </x:c>
      <x:c r="B76" s="7" t="str">
        <x:v>RM-075</x:v>
      </x:c>
      <x:c r="C76" s="7" t="str">
        <x:v>Tan Label / Closure</x:v>
      </x:c>
      <x:c r="D76" s="7" t="str">
        <x:v>Label / Closure</x:v>
      </x:c>
      <x:c r="E76" s="32" t="n">
        <x:v>1.22</x:v>
      </x:c>
      <x:c r="F76" s="34" t="n">
        <x:v>0.782</x:v>
      </x:c>
      <x:c r="G76" s="30" t="n">
        <x:v>0.028000000000000004</x:v>
      </x:c>
      <x:c r="H76" s="36" t="n">
        <x:f>E76*F76*(1+G76)</x:f>
        <x:v>0.98075312</x:v>
      </x:c>
    </x:row>
    <x:row r="77">
      <x:c r="A77" s="6" t="str">
        <x:v>FG-016</x:v>
      </x:c>
      <x:c r="B77" s="7" t="str">
        <x:v>RM-076</x:v>
      </x:c>
      <x:c r="C77" s="7" t="str">
        <x:v>Blue Resin / Base</x:v>
      </x:c>
      <x:c r="D77" s="7" t="str">
        <x:v>Resin / Base</x:v>
      </x:c>
      <x:c r="E77" s="32" t="n">
        <x:v>1.055</x:v>
      </x:c>
      <x:c r="F77" s="34" t="n">
        <x:v>3.0681999999999996</x:v>
      </x:c>
      <x:c r="G77" s="30" t="n">
        <x:v>0.01</x:v>
      </x:c>
      <x:c r="H77" s="36" t="n">
        <x:f>E77*F77*(1+G77)</x:f>
        <x:v>3.2693205099999996</x:v>
      </x:c>
    </x:row>
    <x:row r="78">
      <x:c r="A78" s="6" t="str">
        <x:v>FG-016</x:v>
      </x:c>
      <x:c r="B78" s="7" t="str">
        <x:v>RM-077</x:v>
      </x:c>
      <x:c r="C78" s="7" t="str">
        <x:v>Blue Pigment / Filler</x:v>
      </x:c>
      <x:c r="D78" s="7" t="str">
        <x:v>Pigment / Filler</x:v>
      </x:c>
      <x:c r="E78" s="32" t="n">
        <x:v>0.3108000000000001</x:v>
      </x:c>
      <x:c r="F78" s="34" t="n">
        <x:v>1.288</x:v>
      </x:c>
      <x:c r="G78" s="30" t="n">
        <x:v>0.016</x:v>
      </x:c>
      <x:c r="H78" s="36" t="n">
        <x:f>E78*F78*(1+G78)</x:f>
        <x:v>0.4067153664000001</x:v>
      </x:c>
    </x:row>
    <x:row r="79">
      <x:c r="A79" s="6" t="str">
        <x:v>FG-016</x:v>
      </x:c>
      <x:c r="B79" s="7" t="str">
        <x:v>RM-078</x:v>
      </x:c>
      <x:c r="C79" s="7" t="str">
        <x:v>Blue Additive</x:v>
      </x:c>
      <x:c r="D79" s="7" t="str">
        <x:v>Additive</x:v>
      </x:c>
      <x:c r="E79" s="32" t="n">
        <x:v>0.0932</x:v>
      </x:c>
      <x:c r="F79" s="34" t="n">
        <x:v>6.4285000000000005</x:v>
      </x:c>
      <x:c r="G79" s="30" t="n">
        <x:v>0.022</x:v>
      </x:c>
      <x:c r="H79" s="36" t="n">
        <x:f>E79*F79*(1+G79)</x:f>
        <x:v>0.6123171964000002</x:v>
      </x:c>
    </x:row>
    <x:row r="80">
      <x:c r="A80" s="6" t="str">
        <x:v>FG-016</x:v>
      </x:c>
      <x:c r="B80" s="7" t="str">
        <x:v>RM-079</x:v>
      </x:c>
      <x:c r="C80" s="7" t="str">
        <x:v>Blue Package</x:v>
      </x:c>
      <x:c r="D80" s="7" t="str">
        <x:v>Package</x:v>
      </x:c>
      <x:c r="E80" s="32" t="n">
        <x:v>1.22</x:v>
      </x:c>
      <x:c r="F80" s="34" t="n">
        <x:v>3.3855999999999997</x:v>
      </x:c>
      <x:c r="G80" s="30" t="n">
        <x:v>0.028000000000000004</x:v>
      </x:c>
      <x:c r="H80" s="36" t="n">
        <x:f>E80*F80*(1+G80)</x:f>
        <x:v>4.246084096</x:v>
      </x:c>
    </x:row>
    <x:row r="81">
      <x:c r="A81" s="6" t="str">
        <x:v>FG-016</x:v>
      </x:c>
      <x:c r="B81" s="7" t="str">
        <x:v>RM-080</x:v>
      </x:c>
      <x:c r="C81" s="7" t="str">
        <x:v>Blue Label / Closure</x:v>
      </x:c>
      <x:c r="D81" s="7" t="str">
        <x:v>Label / Closure</x:v>
      </x:c>
      <x:c r="E81" s="32" t="n">
        <x:v>1</x:v>
      </x:c>
      <x:c r="F81" s="34" t="n">
        <x:v>0.9579500000000001</x:v>
      </x:c>
      <x:c r="G81" s="30" t="n">
        <x:v>0.01</x:v>
      </x:c>
      <x:c r="H81" s="36" t="n">
        <x:f>E81*F81*(1+G81)</x:f>
        <x:v>0.9675295</x:v>
      </x:c>
    </x:row>
    <x:row r="82">
      <x:c r="A82" s="6" t="str">
        <x:v>FG-017</x:v>
      </x:c>
      <x:c r="B82" s="7" t="str">
        <x:v>RM-081</x:v>
      </x:c>
      <x:c r="C82" s="7" t="str">
        <x:v>Gray Resin / Base</x:v>
      </x:c>
      <x:c r="D82" s="7" t="str">
        <x:v>Resin / Base</x:v>
      </x:c>
      <x:c r="E82" s="32" t="n">
        <x:v>1.11</x:v>
      </x:c>
      <x:c r="F82" s="34" t="n">
        <x:v>2.4334</x:v>
      </x:c>
      <x:c r="G82" s="30" t="n">
        <x:v>0.016</x:v>
      </x:c>
      <x:c r="H82" s="36" t="n">
        <x:f>E82*F82*(1+G82)</x:f>
        <x:v>2.744291184</x:v>
      </x:c>
    </x:row>
    <x:row r="83">
      <x:c r="A83" s="6" t="str">
        <x:v>FG-017</x:v>
      </x:c>
      <x:c r="B83" s="7" t="str">
        <x:v>RM-082</x:v>
      </x:c>
      <x:c r="C83" s="7" t="str">
        <x:v>Gray Pigment / Filler</x:v>
      </x:c>
      <x:c r="D83" s="7" t="str">
        <x:v>Pigment / Filler</x:v>
      </x:c>
      <x:c r="E83" s="32" t="n">
        <x:v>0.32620000000000005</x:v>
      </x:c>
      <x:c r="F83" s="34" t="n">
        <x:v>1.5778</x:v>
      </x:c>
      <x:c r="G83" s="30" t="n">
        <x:v>0.022</x:v>
      </x:c>
      <x:c r="H83" s="36" t="n">
        <x:f>E83*F83*(1+G83)</x:f>
        <x:v>0.5260012839200001</x:v>
      </x:c>
    </x:row>
    <x:row r="84">
      <x:c r="A84" s="6" t="str">
        <x:v>FG-017</x:v>
      </x:c>
      <x:c r="B84" s="7" t="str">
        <x:v>RM-083</x:v>
      </x:c>
      <x:c r="C84" s="7" t="str">
        <x:v>Gray Additive</x:v>
      </x:c>
      <x:c r="D84" s="7" t="str">
        <x:v>Additive</x:v>
      </x:c>
      <x:c r="E84" s="32" t="n">
        <x:v>0.0976</x:v>
      </x:c>
      <x:c r="F84" s="34" t="n">
        <x:v>7.774000000000001</x:v>
      </x:c>
      <x:c r="G84" s="30" t="n">
        <x:v>0.028000000000000004</x:v>
      </x:c>
      <x:c r="H84" s="36" t="n">
        <x:f>E84*F84*(1+G84)</x:f>
        <x:v>0.7799871872000002</x:v>
      </x:c>
    </x:row>
    <x:row r="85">
      <x:c r="A85" s="6" t="str">
        <x:v>FG-017</x:v>
      </x:c>
      <x:c r="B85" s="7" t="str">
        <x:v>RM-084</x:v>
      </x:c>
      <x:c r="C85" s="7" t="str">
        <x:v>Gray Package</x:v>
      </x:c>
      <x:c r="D85" s="7" t="str">
        <x:v>Package</x:v>
      </x:c>
      <x:c r="E85" s="32" t="n">
        <x:v>1</x:v>
      </x:c>
      <x:c r="F85" s="34" t="n">
        <x:v>4.048000000000001</x:v>
      </x:c>
      <x:c r="G85" s="30" t="n">
        <x:v>0.01</x:v>
      </x:c>
      <x:c r="H85" s="36" t="n">
        <x:f>E85*F85*(1+G85)</x:f>
        <x:v>4.088480000000001</x:v>
      </x:c>
    </x:row>
    <x:row r="86">
      <x:c r="A86" s="6" t="str">
        <x:v>FG-017</x:v>
      </x:c>
      <x:c r="B86" s="7" t="str">
        <x:v>RM-085</x:v>
      </x:c>
      <x:c r="C86" s="7" t="str">
        <x:v>Gray Label / Closure</x:v>
      </x:c>
      <x:c r="D86" s="7" t="str">
        <x:v>Label / Closure</x:v>
      </x:c>
      <x:c r="E86" s="32" t="n">
        <x:v>1.055</x:v>
      </x:c>
      <x:c r="F86" s="34" t="n">
        <x:v>1.1339</x:v>
      </x:c>
      <x:c r="G86" s="30" t="n">
        <x:v>0.016</x:v>
      </x:c>
      <x:c r="H86" s="36" t="n">
        <x:f>E86*F86*(1+G86)</x:f>
        <x:v>1.2154047319999999</x:v>
      </x:c>
    </x:row>
    <x:row r="87">
      <x:c r="A87" s="6" t="str">
        <x:v>FG-018</x:v>
      </x:c>
      <x:c r="B87" s="7" t="str">
        <x:v>RM-086</x:v>
      </x:c>
      <x:c r="C87" s="7" t="str">
        <x:v>Red Resin / Base</x:v>
      </x:c>
      <x:c r="D87" s="7" t="str">
        <x:v>Resin / Base</x:v>
      </x:c>
      <x:c r="E87" s="32" t="n">
        <x:v>1.165</x:v>
      </x:c>
      <x:c r="F87" s="34" t="n">
        <x:v>2.9095</x:v>
      </x:c>
      <x:c r="G87" s="30" t="n">
        <x:v>0.022</x:v>
      </x:c>
      <x:c r="H87" s="36" t="n">
        <x:f>E87*F87*(1+G87)</x:f>
        <x:v>3.4641379850000003</x:v>
      </x:c>
    </x:row>
    <x:row r="88">
      <x:c r="A88" s="6" t="str">
        <x:v>FG-018</x:v>
      </x:c>
      <x:c r="B88" s="7" t="str">
        <x:v>RM-087</x:v>
      </x:c>
      <x:c r="C88" s="7" t="str">
        <x:v>Red Pigment / Filler</x:v>
      </x:c>
      <x:c r="D88" s="7" t="str">
        <x:v>Pigment / Filler</x:v>
      </x:c>
      <x:c r="E88" s="32" t="n">
        <x:v>0.3416</x:v>
      </x:c>
      <x:c r="F88" s="34" t="n">
        <x:v>1.8676</x:v>
      </x:c>
      <x:c r="G88" s="30" t="n">
        <x:v>0.028000000000000004</x:v>
      </x:c>
      <x:c r="H88" s="36" t="n">
        <x:f>E88*F88*(1+G88)</x:f>
        <x:v>0.65583538048</x:v>
      </x:c>
    </x:row>
    <x:row r="89">
      <x:c r="A89" s="6" t="str">
        <x:v>FG-018</x:v>
      </x:c>
      <x:c r="B89" s="7" t="str">
        <x:v>RM-088</x:v>
      </x:c>
      <x:c r="C89" s="7" t="str">
        <x:v>Red Additive</x:v>
      </x:c>
      <x:c r="D89" s="7" t="str">
        <x:v>Additive</x:v>
      </x:c>
      <x:c r="E89" s="32" t="n">
        <x:v>0.08</x:v>
      </x:c>
      <x:c r="F89" s="34" t="n">
        <x:v>5.98</x:v>
      </x:c>
      <x:c r="G89" s="30" t="n">
        <x:v>0.01</x:v>
      </x:c>
      <x:c r="H89" s="36" t="n">
        <x:f>E89*F89*(1+G89)</x:f>
        <x:v>0.48318400000000006</x:v>
      </x:c>
    </x:row>
    <x:row r="90">
      <x:c r="A90" s="6" t="str">
        <x:v>FG-018</x:v>
      </x:c>
      <x:c r="B90" s="7" t="str">
        <x:v>RM-089</x:v>
      </x:c>
      <x:c r="C90" s="7" t="str">
        <x:v>Red Package</x:v>
      </x:c>
      <x:c r="D90" s="7" t="str">
        <x:v>Package</x:v>
      </x:c>
      <x:c r="E90" s="32" t="n">
        <x:v>1.055</x:v>
      </x:c>
      <x:c r="F90" s="34" t="n">
        <x:v>3.1648</x:v>
      </x:c>
      <x:c r="G90" s="30" t="n">
        <x:v>0.016</x:v>
      </x:c>
      <x:c r="H90" s="36" t="n">
        <x:f>E90*F90*(1+G90)</x:f>
        <x:v>3.392285824</x:v>
      </x:c>
    </x:row>
    <x:row r="91">
      <x:c r="A91" s="6" t="str">
        <x:v>FG-018</x:v>
      </x:c>
      <x:c r="B91" s="7" t="str">
        <x:v>RM-090</x:v>
      </x:c>
      <x:c r="C91" s="7" t="str">
        <x:v>Red Label / Closure</x:v>
      </x:c>
      <x:c r="D91" s="7" t="str">
        <x:v>Label / Closure</x:v>
      </x:c>
      <x:c r="E91" s="32" t="n">
        <x:v>1.11</x:v>
      </x:c>
      <x:c r="F91" s="34" t="n">
        <x:v>0.8993</x:v>
      </x:c>
      <x:c r="G91" s="30" t="n">
        <x:v>0.022</x:v>
      </x:c>
      <x:c r="H91" s="36" t="n">
        <x:f>E91*F91*(1+G91)</x:f>
        <x:v>1.0201839060000002</x:v>
      </x:c>
    </x:row>
    <x:row r="92">
      <x:c r="A92" s="6" t="str">
        <x:v>FG-019</x:v>
      </x:c>
      <x:c r="B92" s="7" t="str">
        <x:v>RM-091</x:v>
      </x:c>
      <x:c r="C92" s="7" t="str">
        <x:v>White Resin / Base</x:v>
      </x:c>
      <x:c r="D92" s="7" t="str">
        <x:v>Resin / Base</x:v>
      </x:c>
      <x:c r="E92" s="32" t="n">
        <x:v>1.22</x:v>
      </x:c>
      <x:c r="F92" s="34" t="n">
        <x:v>2.9175499999999994</x:v>
      </x:c>
      <x:c r="G92" s="30" t="n">
        <x:v>0.028000000000000004</x:v>
      </x:c>
      <x:c r="H92" s="36" t="n">
        <x:f>E92*F92*(1+G92)</x:f>
        <x:v>3.6590745079999993</x:v>
      </x:c>
    </x:row>
    <x:row r="93">
      <x:c r="A93" s="6" t="str">
        <x:v>FG-019</x:v>
      </x:c>
      <x:c r="B93" s="7" t="str">
        <x:v>RM-092</x:v>
      </x:c>
      <x:c r="C93" s="7" t="str">
        <x:v>White Pigment / Filler</x:v>
      </x:c>
      <x:c r="D93" s="7" t="str">
        <x:v>Pigment / Filler</x:v>
      </x:c>
      <x:c r="E93" s="32" t="n">
        <x:v>0.28</x:v>
      </x:c>
      <x:c r="F93" s="34" t="n">
        <x:v>1.8997999999999997</x:v>
      </x:c>
      <x:c r="G93" s="30" t="n">
        <x:v>0.01</x:v>
      </x:c>
      <x:c r="H93" s="36" t="n">
        <x:f>E93*F93*(1+G93)</x:f>
        <x:v>0.5372634399999999</x:v>
      </x:c>
    </x:row>
    <x:row r="94">
      <x:c r="A94" s="6" t="str">
        <x:v>FG-019</x:v>
      </x:c>
      <x:c r="B94" s="7" t="str">
        <x:v>RM-093</x:v>
      </x:c>
      <x:c r="C94" s="7" t="str">
        <x:v>White Additive</x:v>
      </x:c>
      <x:c r="D94" s="7" t="str">
        <x:v>Additive</x:v>
      </x:c>
      <x:c r="E94" s="32" t="n">
        <x:v>0.0844</x:v>
      </x:c>
      <x:c r="F94" s="34" t="n">
        <x:v>9.39575</x:v>
      </x:c>
      <x:c r="G94" s="30" t="n">
        <x:v>0.016</x:v>
      </x:c>
      <x:c r="H94" s="36" t="n">
        <x:f>E94*F94*(1+G94)</x:f>
        <x:v>0.8056893208</x:v>
      </x:c>
    </x:row>
    <x:row r="95">
      <x:c r="A95" s="6" t="str">
        <x:v>FG-019</x:v>
      </x:c>
      <x:c r="B95" s="7" t="str">
        <x:v>RM-094</x:v>
      </x:c>
      <x:c r="C95" s="7" t="str">
        <x:v>White Package</x:v>
      </x:c>
      <x:c r="D95" s="7" t="str">
        <x:v>Package</x:v>
      </x:c>
      <x:c r="E95" s="32" t="n">
        <x:v>1.11</x:v>
      </x:c>
      <x:c r="F95" s="34" t="n">
        <x:v>4.9088</x:v>
      </x:c>
      <x:c r="G95" s="30" t="n">
        <x:v>0.022</x:v>
      </x:c>
      <x:c r="H95" s="36" t="n">
        <x:f>E95*F95*(1+G95)</x:f>
        <x:v>5.568640896000002</x:v>
      </x:c>
    </x:row>
    <x:row r="96">
      <x:c r="A96" s="6" t="str">
        <x:v>FG-019</x:v>
      </x:c>
      <x:c r="B96" s="7" t="str">
        <x:v>RM-095</x:v>
      </x:c>
      <x:c r="C96" s="7" t="str">
        <x:v>White Label / Closure</x:v>
      </x:c>
      <x:c r="D96" s="7" t="str">
        <x:v>Label / Closure</x:v>
      </x:c>
      <x:c r="E96" s="32" t="n">
        <x:v>1.165</x:v>
      </x:c>
      <x:c r="F96" s="34" t="n">
        <x:v>1.379125</x:v>
      </x:c>
      <x:c r="G96" s="30" t="n">
        <x:v>0.028000000000000004</x:v>
      </x:c>
      <x:c r="H96" s="36" t="n">
        <x:f>E96*F96*(1+G96)</x:f>
        <x:v>1.6516676824999998</x:v>
      </x:c>
    </x:row>
    <x:row r="97">
      <x:c r="A97" s="6" t="str">
        <x:v>FG-020</x:v>
      </x:c>
      <x:c r="B97" s="7" t="str">
        <x:v>RM-096</x:v>
      </x:c>
      <x:c r="C97" s="7" t="str">
        <x:v>Black Resin / Base</x:v>
      </x:c>
      <x:c r="D97" s="7" t="str">
        <x:v>Resin / Base</x:v>
      </x:c>
      <x:c r="E97" s="32" t="n">
        <x:v>1</x:v>
      </x:c>
      <x:c r="F97" s="34" t="n">
        <x:v>3.5281999999999996</x:v>
      </x:c>
      <x:c r="G97" s="30" t="n">
        <x:v>0.01</x:v>
      </x:c>
      <x:c r="H97" s="36" t="n">
        <x:f>E97*F97*(1+G97)</x:f>
        <x:v>3.5634819999999996</x:v>
      </x:c>
    </x:row>
    <x:row r="98">
      <x:c r="A98" s="6" t="str">
        <x:v>FG-020</x:v>
      </x:c>
      <x:c r="B98" s="7" t="str">
        <x:v>RM-097</x:v>
      </x:c>
      <x:c r="C98" s="7" t="str">
        <x:v>Black Pigment / Filler</x:v>
      </x:c>
      <x:c r="D98" s="7" t="str">
        <x:v>Pigment / Filler</x:v>
      </x:c>
      <x:c r="E98" s="32" t="n">
        <x:v>0.2954</x:v>
      </x:c>
      <x:c r="F98" s="34" t="n">
        <x:v>2.2714999999999996</x:v>
      </x:c>
      <x:c r="G98" s="30" t="n">
        <x:v>0.016</x:v>
      </x:c>
      <x:c r="H98" s="36" t="n">
        <x:f>E98*F98*(1+G98)</x:f>
        <x:v>0.6817371175999999</x:v>
      </x:c>
    </x:row>
    <x:row r="99">
      <x:c r="A99" s="6" t="str">
        <x:v>FG-020</x:v>
      </x:c>
      <x:c r="B99" s="7" t="str">
        <x:v>RM-098</x:v>
      </x:c>
      <x:c r="C99" s="7" t="str">
        <x:v>Black Additive</x:v>
      </x:c>
      <x:c r="D99" s="7" t="str">
        <x:v>Additive</x:v>
      </x:c>
      <x:c r="E99" s="32" t="n">
        <x:v>0.0888</x:v>
      </x:c>
      <x:c r="F99" s="34" t="n">
        <x:v>11.121499999999997</x:v>
      </x:c>
      <x:c r="G99" s="30" t="n">
        <x:v>0.022</x:v>
      </x:c>
      <x:c r="H99" s="36" t="n">
        <x:f>E99*F99*(1+G99)</x:f>
        <x:v>1.0093161623999998</x:v>
      </x:c>
    </x:row>
    <x:row r="100">
      <x:c r="A100" s="6" t="str">
        <x:v>FG-020</x:v>
      </x:c>
      <x:c r="B100" s="7" t="str">
        <x:v>RM-099</x:v>
      </x:c>
      <x:c r="C100" s="7" t="str">
        <x:v>Black Package</x:v>
      </x:c>
      <x:c r="D100" s="7" t="str">
        <x:v>Package</x:v>
      </x:c>
      <x:c r="E100" s="32" t="n">
        <x:v>1.165</x:v>
      </x:c>
      <x:c r="F100" s="34" t="n">
        <x:v>3.776</x:v>
      </x:c>
      <x:c r="G100" s="30" t="n">
        <x:v>0.028000000000000004</x:v>
      </x:c>
      <x:c r="H100" s="36" t="n">
        <x:f>E100*F100*(1+G100)</x:f>
        <x:v>4.52221312</x:v>
      </x:c>
    </x:row>
    <x:row r="101">
      <x:c r="A101" s="6" t="str">
        <x:v>FG-020</x:v>
      </x:c>
      <x:c r="B101" s="7" t="str">
        <x:v>RM-100</x:v>
      </x:c>
      <x:c r="C101" s="7" t="str">
        <x:v>Black Label / Closure</x:v>
      </x:c>
      <x:c r="D101" s="7" t="str">
        <x:v>Label / Closure</x:v>
      </x:c>
      <x:c r="E101" s="32" t="n">
        <x:v>1.22</x:v>
      </x:c>
      <x:c r="F101" s="34" t="n">
        <x:v>1.078225</x:v>
      </x:c>
      <x:c r="G101" s="30" t="n">
        <x:v>0.01</x:v>
      </x:c>
      <x:c r="H101" s="36" t="n">
        <x:f>E101*F101*(1+G101)</x:f>
        <x:v>1.328588845</x:v>
      </x:c>
    </x:row>
    <x:row r="102">
      <x:c r="A102" s="6" t="str">
        <x:v>FG-021</x:v>
      </x:c>
      <x:c r="B102" s="7" t="str">
        <x:v>RM-101</x:v>
      </x:c>
      <x:c r="C102" s="7" t="str">
        <x:v>Tan Resin / Base</x:v>
      </x:c>
      <x:c r="D102" s="7" t="str">
        <x:v>Resin / Base</x:v>
      </x:c>
      <x:c r="E102" s="32" t="n">
        <x:v>1.055</x:v>
      </x:c>
      <x:c r="F102" s="34" t="n">
        <x:v>2.7139999999999995</x:v>
      </x:c>
      <x:c r="G102" s="30" t="n">
        <x:v>0.016</x:v>
      </x:c>
      <x:c r="H102" s="36" t="n">
        <x:f>E102*F102*(1+G102)</x:f>
        <x:v>2.9090823199999996</x:v>
      </x:c>
    </x:row>
    <x:row r="103">
      <x:c r="A103" s="6" t="str">
        <x:v>FG-021</x:v>
      </x:c>
      <x:c r="B103" s="7" t="str">
        <x:v>RM-102</x:v>
      </x:c>
      <x:c r="C103" s="7" t="str">
        <x:v>Tan Pigment / Filler</x:v>
      </x:c>
      <x:c r="D103" s="7" t="str">
        <x:v>Pigment / Filler</x:v>
      </x:c>
      <x:c r="E103" s="32" t="n">
        <x:v>0.3108000000000001</x:v>
      </x:c>
      <x:c r="F103" s="34" t="n">
        <x:v>1.7758999999999998</x:v>
      </x:c>
      <x:c r="G103" s="30" t="n">
        <x:v>0.022</x:v>
      </x:c>
      <x:c r="H103" s="36" t="n">
        <x:f>E103*F103*(1+G103)</x:f>
        <x:v>0.5640926138400001</x:v>
      </x:c>
    </x:row>
    <x:row r="104">
      <x:c r="A104" s="6" t="str">
        <x:v>FG-021</x:v>
      </x:c>
      <x:c r="B104" s="7" t="str">
        <x:v>RM-103</x:v>
      </x:c>
      <x:c r="C104" s="7" t="str">
        <x:v>Tan Additive</x:v>
      </x:c>
      <x:c r="D104" s="7" t="str">
        <x:v>Additive</x:v>
      </x:c>
      <x:c r="E104" s="32" t="n">
        <x:v>0.0932</x:v>
      </x:c>
      <x:c r="F104" s="34" t="n">
        <x:v>8.8205</x:v>
      </x:c>
      <x:c r="G104" s="30" t="n">
        <x:v>0.028000000000000004</x:v>
      </x:c>
      <x:c r="H104" s="36" t="n">
        <x:f>E104*F104*(1+G104)</x:f>
        <x:v>0.8450885768</x:v>
      </x:c>
    </x:row>
    <x:row r="105">
      <x:c r="A105" s="6" t="str">
        <x:v>FG-021</x:v>
      </x:c>
      <x:c r="B105" s="7" t="str">
        <x:v>RM-104</x:v>
      </x:c>
      <x:c r="C105" s="7" t="str">
        <x:v>Tan Package</x:v>
      </x:c>
      <x:c r="D105" s="7" t="str">
        <x:v>Package</x:v>
      </x:c>
      <x:c r="E105" s="32" t="n">
        <x:v>1.22</x:v>
      </x:c>
      <x:c r="F105" s="34" t="n">
        <x:v>4.6256</x:v>
      </x:c>
      <x:c r="G105" s="30" t="n">
        <x:v>0.01</x:v>
      </x:c>
      <x:c r="H105" s="36" t="n">
        <x:f>E105*F105*(1+G105)</x:f>
        <x:v>5.69966432</x:v>
      </x:c>
    </x:row>
    <x:row r="106">
      <x:c r="A106" s="6" t="str">
        <x:v>FG-021</x:v>
      </x:c>
      <x:c r="B106" s="7" t="str">
        <x:v>RM-105</x:v>
      </x:c>
      <x:c r="C106" s="7" t="str">
        <x:v>Tan Label / Closure</x:v>
      </x:c>
      <x:c r="D106" s="7" t="str">
        <x:v>Label / Closure</x:v>
      </x:c>
      <x:c r="E106" s="32" t="n">
        <x:v>1</x:v>
      </x:c>
      <x:c r="F106" s="34" t="n">
        <x:v>1.3038999999999998</x:v>
      </x:c>
      <x:c r="G106" s="30" t="n">
        <x:v>0.016</x:v>
      </x:c>
      <x:c r="H106" s="36" t="n">
        <x:f>E106*F106*(1+G106)</x:f>
        <x:v>1.3247623999999998</x:v>
      </x:c>
    </x:row>
    <x:row r="107">
      <x:c r="A107" s="6" t="str">
        <x:v>FG-022</x:v>
      </x:c>
      <x:c r="B107" s="7" t="str">
        <x:v>RM-106</x:v>
      </x:c>
      <x:c r="C107" s="7" t="str">
        <x:v>Blue Resin / Base</x:v>
      </x:c>
      <x:c r="D107" s="7" t="str">
        <x:v>Resin / Base</x:v>
      </x:c>
      <x:c r="E107" s="32" t="n">
        <x:v>1.11</x:v>
      </x:c>
      <x:c r="F107" s="34" t="n">
        <x:v>3.3246499999999997</x:v>
      </x:c>
      <x:c r="G107" s="30" t="n">
        <x:v>0.022</x:v>
      </x:c>
      <x:c r="H107" s="36" t="n">
        <x:f>E107*F107*(1+G107)</x:f>
        <x:v>3.771549453</x:v>
      </x:c>
    </x:row>
    <x:row r="108">
      <x:c r="A108" s="6" t="str">
        <x:v>FG-022</x:v>
      </x:c>
      <x:c r="B108" s="7" t="str">
        <x:v>RM-107</x:v>
      </x:c>
      <x:c r="C108" s="7" t="str">
        <x:v>Blue Pigment / Filler</x:v>
      </x:c>
      <x:c r="D108" s="7" t="str">
        <x:v>Pigment / Filler</x:v>
      </x:c>
      <x:c r="E108" s="32" t="n">
        <x:v>0.32620000000000005</x:v>
      </x:c>
      <x:c r="F108" s="34" t="n">
        <x:v>2.1475999999999997</x:v>
      </x:c>
      <x:c r="G108" s="30" t="n">
        <x:v>0.028000000000000004</x:v>
      </x:c>
      <x:c r="H108" s="36" t="n">
        <x:f>E108*F108*(1+G108)</x:f>
        <x:v>0.72016243936</x:v>
      </x:c>
    </x:row>
    <x:row r="109">
      <x:c r="A109" s="6" t="str">
        <x:v>FG-022</x:v>
      </x:c>
      <x:c r="B109" s="7" t="str">
        <x:v>RM-108</x:v>
      </x:c>
      <x:c r="C109" s="7" t="str">
        <x:v>Blue Additive</x:v>
      </x:c>
      <x:c r="D109" s="7" t="str">
        <x:v>Additive</x:v>
      </x:c>
      <x:c r="E109" s="32" t="n">
        <x:v>0.0976</x:v>
      </x:c>
      <x:c r="F109" s="34" t="n">
        <x:v>10.546249999999999</x:v>
      </x:c>
      <x:c r="G109" s="30" t="n">
        <x:v>0.01</x:v>
      </x:c>
      <x:c r="H109" s="36" t="n">
        <x:f>E109*F109*(1+G109)</x:f>
        <x:v>1.0396071399999998</x:v>
      </x:c>
    </x:row>
    <x:row r="110">
      <x:c r="A110" s="6" t="str">
        <x:v>FG-022</x:v>
      </x:c>
      <x:c r="B110" s="7" t="str">
        <x:v>RM-109</x:v>
      </x:c>
      <x:c r="C110" s="7" t="str">
        <x:v>Blue Package</x:v>
      </x:c>
      <x:c r="D110" s="7" t="str">
        <x:v>Package</x:v>
      </x:c>
      <x:c r="E110" s="32" t="n">
        <x:v>1</x:v>
      </x:c>
      <x:c r="F110" s="34" t="n">
        <x:v>5.475199999999999</x:v>
      </x:c>
      <x:c r="G110" s="30" t="n">
        <x:v>0.016</x:v>
      </x:c>
      <x:c r="H110" s="36" t="n">
        <x:f>E110*F110*(1+G110)</x:f>
        <x:v>5.562803199999999</x:v>
      </x:c>
    </x:row>
    <x:row r="111">
      <x:c r="A111" s="6" t="str">
        <x:v>FG-022</x:v>
      </x:c>
      <x:c r="B111" s="7" t="str">
        <x:v>RM-110</x:v>
      </x:c>
      <x:c r="C111" s="7" t="str">
        <x:v>Blue Label / Closure</x:v>
      </x:c>
      <x:c r="D111" s="7" t="str">
        <x:v>Label / Closure</x:v>
      </x:c>
      <x:c r="E111" s="32" t="n">
        <x:v>1.055</x:v>
      </x:c>
      <x:c r="F111" s="34" t="n">
        <x:v>1.003</x:v>
      </x:c>
      <x:c r="G111" s="30" t="n">
        <x:v>0.022</x:v>
      </x:c>
      <x:c r="H111" s="36" t="n">
        <x:f>E111*F111*(1+G111)</x:f>
        <x:v>1.0814446299999998</x:v>
      </x:c>
    </x:row>
    <x:row r="112">
      <x:c r="A112" s="6" t="str">
        <x:v>FG-023</x:v>
      </x:c>
      <x:c r="B112" s="7" t="str">
        <x:v>RM-111</x:v>
      </x:c>
      <x:c r="C112" s="7" t="str">
        <x:v>Gray Resin / Base</x:v>
      </x:c>
      <x:c r="D112" s="7" t="str">
        <x:v>Resin / Base</x:v>
      </x:c>
      <x:c r="E112" s="32" t="n">
        <x:v>1.165</x:v>
      </x:c>
      <x:c r="F112" s="34" t="n">
        <x:v>3.9352999999999994</x:v>
      </x:c>
      <x:c r="G112" s="30" t="n">
        <x:v>0.028000000000000004</x:v>
      </x:c>
      <x:c r="H112" s="36" t="n">
        <x:f>E112*F112*(1+G112)</x:f>
        <x:v>4.712993986</x:v>
      </x:c>
    </x:row>
    <x:row r="113">
      <x:c r="A113" s="6" t="str">
        <x:v>FG-023</x:v>
      </x:c>
      <x:c r="B113" s="7" t="str">
        <x:v>RM-112</x:v>
      </x:c>
      <x:c r="C113" s="7" t="str">
        <x:v>Gray Pigment / Filler</x:v>
      </x:c>
      <x:c r="D113" s="7" t="str">
        <x:v>Pigment / Filler</x:v>
      </x:c>
      <x:c r="E113" s="32" t="n">
        <x:v>0.3416</x:v>
      </x:c>
      <x:c r="F113" s="34" t="n">
        <x:v>1.652</x:v>
      </x:c>
      <x:c r="G113" s="30" t="n">
        <x:v>0.01</x:v>
      </x:c>
      <x:c r="H113" s="36" t="n">
        <x:f>E113*F113*(1+G113)</x:f>
        <x:v>0.5699664320000001</x:v>
      </x:c>
    </x:row>
    <x:row r="114">
      <x:c r="A114" s="6" t="str">
        <x:v>FG-023</x:v>
      </x:c>
      <x:c r="B114" s="7" t="str">
        <x:v>RM-113</x:v>
      </x:c>
      <x:c r="C114" s="7" t="str">
        <x:v>Gray Additive</x:v>
      </x:c>
      <x:c r="D114" s="7" t="str">
        <x:v>Additive</x:v>
      </x:c>
      <x:c r="E114" s="32" t="n">
        <x:v>0.08</x:v>
      </x:c>
      <x:c r="F114" s="34" t="n">
        <x:v>8.245249999999999</x:v>
      </x:c>
      <x:c r="G114" s="30" t="n">
        <x:v>0.016</x:v>
      </x:c>
      <x:c r="H114" s="36" t="n">
        <x:f>E114*F114*(1+G114)</x:f>
        <x:v>0.6701739199999999</x:v>
      </x:c>
    </x:row>
    <x:row r="115">
      <x:c r="A115" s="6" t="str">
        <x:v>FG-023</x:v>
      </x:c>
      <x:c r="B115" s="7" t="str">
        <x:v>RM-114</x:v>
      </x:c>
      <x:c r="C115" s="7" t="str">
        <x:v>Gray Package</x:v>
      </x:c>
      <x:c r="D115" s="7" t="str">
        <x:v>Package</x:v>
      </x:c>
      <x:c r="E115" s="32" t="n">
        <x:v>1.055</x:v>
      </x:c>
      <x:c r="F115" s="34" t="n">
        <x:v>4.3424</x:v>
      </x:c>
      <x:c r="G115" s="30" t="n">
        <x:v>0.022</x:v>
      </x:c>
      <x:c r="H115" s="36" t="n">
        <x:f>E115*F115*(1+G115)</x:f>
        <x:v>4.682019103999999</x:v>
      </x:c>
    </x:row>
    <x:row r="116">
      <x:c r="A116" s="6" t="str">
        <x:v>FG-023</x:v>
      </x:c>
      <x:c r="B116" s="7" t="str">
        <x:v>RM-115</x:v>
      </x:c>
      <x:c r="C116" s="7" t="str">
        <x:v>Gray Label / Closure</x:v>
      </x:c>
      <x:c r="D116" s="7" t="str">
        <x:v>Label / Closure</x:v>
      </x:c>
      <x:c r="E116" s="32" t="n">
        <x:v>1.11</x:v>
      </x:c>
      <x:c r="F116" s="34" t="n">
        <x:v>1.228675</x:v>
      </x:c>
      <x:c r="G116" s="30" t="n">
        <x:v>0.028000000000000004</x:v>
      </x:c>
      <x:c r="H116" s="36" t="n">
        <x:f>E116*F116*(1+G116)</x:f>
        <x:v>1.402016469</x:v>
      </x:c>
    </x:row>
    <x:row r="117">
      <x:c r="A117" s="6" t="str">
        <x:v>FG-024</x:v>
      </x:c>
      <x:c r="B117" s="7" t="str">
        <x:v>RM-116</x:v>
      </x:c>
      <x:c r="C117" s="7" t="str">
        <x:v>Red Resin / Base</x:v>
      </x:c>
      <x:c r="D117" s="7" t="str">
        <x:v>Resin / Base</x:v>
      </x:c>
      <x:c r="E117" s="32" t="n">
        <x:v>1.22</x:v>
      </x:c>
      <x:c r="F117" s="34" t="n">
        <x:v>3.1210999999999993</x:v>
      </x:c>
      <x:c r="G117" s="30" t="n">
        <x:v>0.01</x:v>
      </x:c>
      <x:c r="H117" s="36" t="n">
        <x:f>E117*F117*(1+G117)</x:f>
        <x:v>3.8458194199999993</x:v>
      </x:c>
    </x:row>
    <x:row r="118">
      <x:c r="A118" s="6" t="str">
        <x:v>FG-024</x:v>
      </x:c>
      <x:c r="B118" s="7" t="str">
        <x:v>RM-117</x:v>
      </x:c>
      <x:c r="C118" s="7" t="str">
        <x:v>Red Pigment / Filler</x:v>
      </x:c>
      <x:c r="D118" s="7" t="str">
        <x:v>Pigment / Filler</x:v>
      </x:c>
      <x:c r="E118" s="32" t="n">
        <x:v>0.28</x:v>
      </x:c>
      <x:c r="F118" s="34" t="n">
        <x:v>2.0237</x:v>
      </x:c>
      <x:c r="G118" s="30" t="n">
        <x:v>0.016</x:v>
      </x:c>
      <x:c r="H118" s="36" t="n">
        <x:f>E118*F118*(1+G118)</x:f>
        <x:v>0.5757021760000001</x:v>
      </x:c>
    </x:row>
    <x:row r="119">
      <x:c r="A119" s="6" t="str">
        <x:v>FG-024</x:v>
      </x:c>
      <x:c r="B119" s="7" t="str">
        <x:v>RM-118</x:v>
      </x:c>
      <x:c r="C119" s="7" t="str">
        <x:v>Red Additive</x:v>
      </x:c>
      <x:c r="D119" s="7" t="str">
        <x:v>Additive</x:v>
      </x:c>
      <x:c r="E119" s="32" t="n">
        <x:v>0.0844</x:v>
      </x:c>
      <x:c r="F119" s="34" t="n">
        <x:v>9.971</x:v>
      </x:c>
      <x:c r="G119" s="30" t="n">
        <x:v>0.022</x:v>
      </x:c>
      <x:c r="H119" s="36" t="n">
        <x:f>E119*F119*(1+G119)</x:f>
        <x:v>0.8600665528000001</x:v>
      </x:c>
    </x:row>
    <x:row r="120">
      <x:c r="A120" s="6" t="str">
        <x:v>FG-024</x:v>
      </x:c>
      <x:c r="B120" s="7" t="str">
        <x:v>RM-119</x:v>
      </x:c>
      <x:c r="C120" s="7" t="str">
        <x:v>Red Package</x:v>
      </x:c>
      <x:c r="D120" s="7" t="str">
        <x:v>Package</x:v>
      </x:c>
      <x:c r="E120" s="32" t="n">
        <x:v>1.11</x:v>
      </x:c>
      <x:c r="F120" s="34" t="n">
        <x:v>5.192</x:v>
      </x:c>
      <x:c r="G120" s="30" t="n">
        <x:v>0.028000000000000004</x:v>
      </x:c>
      <x:c r="H120" s="36" t="n">
        <x:f>E120*F120*(1+G120)</x:f>
        <x:v>5.9244873600000005</x:v>
      </x:c>
    </x:row>
    <x:row r="121">
      <x:c r="A121" s="9" t="str">
        <x:v>FG-024</x:v>
      </x:c>
      <x:c r="B121" s="10" t="str">
        <x:v>RM-120</x:v>
      </x:c>
      <x:c r="C121" s="10" t="str">
        <x:v>Red Label / Closure</x:v>
      </x:c>
      <x:c r="D121" s="10" t="str">
        <x:v>Label / Closure</x:v>
      </x:c>
      <x:c r="E121" s="33" t="n">
        <x:v>1.165</x:v>
      </x:c>
      <x:c r="F121" s="35" t="n">
        <x:v>1.4543499999999998</x:v>
      </x:c>
      <x:c r="G121" s="31" t="n">
        <x:v>0.01</x:v>
      </x:c>
      <x:c r="H121" s="37" t="n">
        <x:f>E121*F121*(1+G121)</x:f>
        <x:v>1.7112609274999997</x:v>
      </x:c>
    </x:row>
  </x:sheetData>
  <x:pageMargins left="0.7" right="0.7" top="0.75" bottom="0.75" header="0.3" footer="0.3"/>
  <x:tableParts count="1">
    <x:tablePart xmlns:r="http://schemas.openxmlformats.org/officeDocument/2006/relationships" r:id="R1c1a703b63da48e7"/>
  </x:tableParts>
</x:worksheet>
</file>

<file path=xl/worksheets/sheet5.xml><?xml version="1.0" encoding="utf-8"?>
<x:worksheet xmlns:x="http://schemas.openxmlformats.org/spreadsheetml/2006/main">
  <x:sheetViews>
    <x:sheetView showGridLines="0" workbookViewId="0"/>
  </x:sheetViews>
  <x:sheetFormatPr defaultRowHeight="15"/>
  <x:cols>
    <x:col min="1" max="1" width="11" hidden="0" customWidth="1"/>
    <x:col min="2" max="2" width="15" hidden="0" customWidth="1"/>
    <x:col min="3" max="3" width="13" hidden="0" customWidth="1"/>
    <x:col min="4" max="4" width="18" hidden="0" customWidth="1"/>
    <x:col min="5" max="5" width="20" hidden="0" customWidth="1"/>
    <x:col min="6" max="6" width="21" hidden="0" customWidth="1"/>
    <x:col min="7" max="7" width="19" hidden="0" customWidth="1"/>
    <x:col min="8" max="8" width="22" hidden="0" customWidth="1"/>
    <x:col min="9" max="9" width="13" hidden="0" customWidth="1"/>
    <x:col min="10" max="10" width="15" hidden="0" customWidth="1"/>
    <x:col min="11" max="11" width="17" hidden="0" customWidth="1"/>
    <x:col min="12" max="12" width="20" hidden="0" customWidth="1"/>
    <x:col min="13" max="13" width="24" hidden="0" customWidth="1"/>
    <x:col min="14" max="14" width="26" hidden="0" customWidth="1"/>
    <x:col min="15" max="15" width="23" hidden="0" customWidth="1"/>
    <x:col min="16" max="16" width="22" hidden="0" customWidth="1"/>
    <x:col min="17" max="17" width="16" hidden="0" customWidth="1"/>
    <x:col min="18" max="18" width="22" hidden="0" customWidth="1"/>
    <x:col min="19" max="19" width="24" hidden="0" customWidth="1"/>
  </x:cols>
  <x:sheetData>
    <x:row r="1" ht="30" customHeight="1">
      <x:c r="A1" s="20" t="str">
        <x:v>SKU</x:v>
      </x:c>
      <x:c r="B1" s="21" t="str">
        <x:v>Production Line</x:v>
      </x:c>
      <x:c r="C1" s="21" t="str">
        <x:v>Batch Units</x:v>
      </x:c>
      <x:c r="D1" s="21" t="str">
        <x:v>Setup Hours / Batch</x:v>
      </x:c>
      <x:c r="E1" s="21" t="str">
        <x:v>Run Labor Hours / Batch</x:v>
      </x:c>
      <x:c r="F1" s="21" t="str">
        <x:v>Machine Run Hours / Batch</x:v>
      </x:c>
      <x:c r="G1" s="21" t="str">
        <x:v>Rework Hours / Batch</x:v>
      </x:c>
      <x:c r="H1" s="21" t="str">
        <x:v>Constrained Hours / Batch</x:v>
      </x:c>
      <x:c r="I1" s="21" t="str">
        <x:v>Setup Share</x:v>
      </x:c>
      <x:c r="J1" s="21" t="str">
        <x:v>Loaded DL Rate</x:v>
      </x:c>
      <x:c r="K1" s="21" t="str">
        <x:v>DL Variable Factor</x:v>
      </x:c>
      <x:c r="L1" s="21" t="str">
        <x:v>Variable Machine Rate</x:v>
      </x:c>
      <x:c r="M1" s="21" t="str">
        <x:v>Setup / Changeover Cost / Unit</x:v>
      </x:c>
      <x:c r="N1" s="21" t="str">
        <x:v>Run + Rework Conversion / Unit</x:v>
      </x:c>
      <x:c r="O1" s="21" t="str">
        <x:v>Variable Conversion / Unit</x:v>
      </x:c>
      <x:c r="P1" s="21" t="str">
        <x:v>Constrained Hours / Unit</x:v>
      </x:c>
      <x:c r="Q1" s="21" t="str">
        <x:v>OH Rate / Hour</x:v>
      </x:c>
      <x:c r="R1" s="21" t="str">
        <x:v>Applied Fixed OH / Unit</x:v>
      </x:c>
      <x:c r="S1" s="21" t="str">
        <x:v>Full Mfg Conversion / Unit</x:v>
      </x:c>
    </x:row>
    <x:row r="2">
      <x:c r="A2" s="6" t="str">
        <x:v>FG-001</x:v>
      </x:c>
      <x:c r="B2" s="7" t="str">
        <x:f>IFERROR(INDEX('Product_Master'!$D$2:$D$25,MATCH(A2,'Product_Master'!$A$2:$A$25,0)),"")</x:f>
        <x:v>Line 1</x:v>
      </x:c>
      <x:c r="C2" s="89" t="n">
        <x:f>IFERROR(INDEX('Product_Master'!$H$2:$H$25,MATCH(A2,'Product_Master'!$A$2:$A$25,0)),0)</x:f>
        <x:v>240</x:v>
      </x:c>
      <x:c r="D2" s="89" t="n">
        <x:v>1.5</x:v>
      </x:c>
      <x:c r="E2" s="89" t="n">
        <x:v>4</x:v>
      </x:c>
      <x:c r="F2" s="89" t="n">
        <x:v>5</x:v>
      </x:c>
      <x:c r="G2" s="89" t="n">
        <x:v>0.25</x:v>
      </x:c>
      <x:c r="H2" s="89" t="n">
        <x:f>D2+F2+G2</x:f>
        <x:v>6.75</x:v>
      </x:c>
      <x:c r="I2" s="30" t="n">
        <x:f>IF(H2=0,0,D2/H2)</x:f>
        <x:v>0.2222222222222222</x:v>
      </x:c>
      <x:c r="J2" s="34" t="n">
        <x:f>'Cost_Assumptions'!$B$8</x:f>
        <x:v>32.5</x:v>
      </x:c>
      <x:c r="K2" s="30" t="n">
        <x:f>'Cost_Assumptions'!$B$9</x:f>
        <x:v>1</x:v>
      </x:c>
      <x:c r="L2" s="34" t="n">
        <x:f>'Cost_Assumptions'!$B$10</x:f>
        <x:v>18</x:v>
      </x:c>
      <x:c r="M2" s="34" t="n">
        <x:f>IF(C2=0,0,D2*(J2*K2+L2)/C2)</x:f>
        <x:v>0.315625</x:v>
      </x:c>
      <x:c r="N2" s="34" t="n">
        <x:f>IF(C2=0,0,((E2+G2)*J2*K2+(F2+G2)*L2)/C2)</x:f>
        <x:v>0.9692708333333333</x:v>
      </x:c>
      <x:c r="O2" s="34" t="n">
        <x:f>M2+N2</x:f>
        <x:v>1.2848958333333333</x:v>
      </x:c>
      <x:c r="P2" s="32" t="n">
        <x:f>IF(C2=0,0,H2/C2)</x:f>
        <x:v>0.028125</x:v>
      </x:c>
      <x:c r="Q2" s="34" t="n">
        <x:f>IFERROR(INDEX('Cost_Assumptions'!$D$19:$D$20,MATCH(B2,'Cost_Assumptions'!$A$19:$A$20,0)),0)</x:f>
        <x:v>48</x:v>
      </x:c>
      <x:c r="R2" s="34" t="n">
        <x:f>P2*Q2</x:f>
        <x:v>1.35</x:v>
      </x:c>
      <x:c r="S2" s="36" t="n">
        <x:f>IF(C2=0,0,(D2*(J2+L2)+(E2+G2)*J2+(F2+G2)*L2)/C2)</x:f>
        <x:v>1.2848958333333333</x:v>
      </x:c>
    </x:row>
    <x:row r="3">
      <x:c r="A3" s="6" t="str">
        <x:v>FG-002</x:v>
      </x:c>
      <x:c r="B3" s="7" t="str">
        <x:f>IFERROR(INDEX('Product_Master'!$D$2:$D$25,MATCH(A3,'Product_Master'!$A$2:$A$25,0)),"")</x:f>
        <x:v>Line 1</x:v>
      </x:c>
      <x:c r="C3" s="89" t="n">
        <x:f>IFERROR(INDEX('Product_Master'!$H$2:$H$25,MATCH(A3,'Product_Master'!$A$2:$A$25,0)),0)</x:f>
        <x:v>300</x:v>
      </x:c>
      <x:c r="D3" s="89" t="n">
        <x:v>2</x:v>
      </x:c>
      <x:c r="E3" s="89" t="n">
        <x:v>4.8</x:v>
      </x:c>
      <x:c r="F3" s="89" t="n">
        <x:v>5.9</x:v>
      </x:c>
      <x:c r="G3" s="89" t="n">
        <x:v>0.37</x:v>
      </x:c>
      <x:c r="H3" s="89" t="n">
        <x:f>D3+F3+G3</x:f>
        <x:v>8.27</x:v>
      </x:c>
      <x:c r="I3" s="30" t="n">
        <x:f>IF(H3=0,0,D3/H3)</x:f>
        <x:v>0.2418379685610641</x:v>
      </x:c>
      <x:c r="J3" s="34" t="n">
        <x:f>'Cost_Assumptions'!$B$8</x:f>
        <x:v>32.5</x:v>
      </x:c>
      <x:c r="K3" s="30" t="n">
        <x:f>'Cost_Assumptions'!$B$9</x:f>
        <x:v>1</x:v>
      </x:c>
      <x:c r="L3" s="34" t="n">
        <x:f>'Cost_Assumptions'!$B$10</x:f>
        <x:v>18</x:v>
      </x:c>
      <x:c r="M3" s="34" t="n">
        <x:f>IF(C3=0,0,D3*(J3*K3+L3)/C3)</x:f>
        <x:v>0.33666666666666667</x:v>
      </x:c>
      <x:c r="N3" s="34" t="n">
        <x:f>IF(C3=0,0,((E3+G3)*J3*K3+(F3+G3)*L3)/C3)</x:f>
        <x:v>0.9362833333333334</x:v>
      </x:c>
      <x:c r="O3" s="34" t="n">
        <x:f>M3+N3</x:f>
        <x:v>1.27295</x:v>
      </x:c>
      <x:c r="P3" s="32" t="n">
        <x:f>IF(C3=0,0,H3/C3)</x:f>
        <x:v>0.027566666666666666</x:v>
      </x:c>
      <x:c r="Q3" s="34" t="n">
        <x:f>IFERROR(INDEX('Cost_Assumptions'!$D$19:$D$20,MATCH(B3,'Cost_Assumptions'!$A$19:$A$20,0)),0)</x:f>
        <x:v>48</x:v>
      </x:c>
      <x:c r="R3" s="34" t="n">
        <x:f>P3*Q3</x:f>
        <x:v>1.3232</x:v>
      </x:c>
      <x:c r="S3" s="36" t="n">
        <x:f>IF(C3=0,0,(D3*(J3+L3)+(E3+G3)*J3+(F3+G3)*L3)/C3)</x:f>
        <x:v>1.27295</x:v>
      </x:c>
    </x:row>
    <x:row r="4">
      <x:c r="A4" s="6" t="str">
        <x:v>FG-003</x:v>
      </x:c>
      <x:c r="B4" s="7" t="str">
        <x:f>IFERROR(INDEX('Product_Master'!$D$2:$D$25,MATCH(A4,'Product_Master'!$A$2:$A$25,0)),"")</x:f>
        <x:v>Line 1</x:v>
      </x:c>
      <x:c r="C4" s="89" t="n">
        <x:f>IFERROR(INDEX('Product_Master'!$H$2:$H$25,MATCH(A4,'Product_Master'!$A$2:$A$25,0)),0)</x:f>
        <x:v>360</x:v>
      </x:c>
      <x:c r="D4" s="89" t="n">
        <x:v>4</x:v>
      </x:c>
      <x:c r="E4" s="89" t="n">
        <x:v>30</x:v>
      </x:c>
      <x:c r="F4" s="89" t="n">
        <x:v>40</x:v>
      </x:c>
      <x:c r="G4" s="89" t="n">
        <x:v>2</x:v>
      </x:c>
      <x:c r="H4" s="89" t="n">
        <x:f>D4+F4+G4</x:f>
        <x:v>46</x:v>
      </x:c>
      <x:c r="I4" s="30" t="n">
        <x:f>IF(H4=0,0,D4/H4)</x:f>
        <x:v>0.08695652173913043</x:v>
      </x:c>
      <x:c r="J4" s="34" t="n">
        <x:f>'Cost_Assumptions'!$B$8</x:f>
        <x:v>32.5</x:v>
      </x:c>
      <x:c r="K4" s="30" t="n">
        <x:f>'Cost_Assumptions'!$B$9</x:f>
        <x:v>1</x:v>
      </x:c>
      <x:c r="L4" s="34" t="n">
        <x:f>'Cost_Assumptions'!$B$10</x:f>
        <x:v>18</x:v>
      </x:c>
      <x:c r="M4" s="34" t="n">
        <x:f>IF(C4=0,0,D4*(J4*K4+L4)/C4)</x:f>
        <x:v>0.5611111111111111</x:v>
      </x:c>
      <x:c r="N4" s="34" t="n">
        <x:f>IF(C4=0,0,((E4+G4)*J4*K4+(F4+G4)*L4)/C4)</x:f>
        <x:v>4.988888888888889</x:v>
      </x:c>
      <x:c r="O4" s="34" t="n">
        <x:f>M4+N4</x:f>
        <x:v>5.55</x:v>
      </x:c>
      <x:c r="P4" s="32" t="n">
        <x:f>IF(C4=0,0,H4/C4)</x:f>
        <x:v>0.12777777777777777</x:v>
      </x:c>
      <x:c r="Q4" s="34" t="n">
        <x:f>IFERROR(INDEX('Cost_Assumptions'!$D$19:$D$20,MATCH(B4,'Cost_Assumptions'!$A$19:$A$20,0)),0)</x:f>
        <x:v>48</x:v>
      </x:c>
      <x:c r="R4" s="34" t="n">
        <x:f>P4*Q4</x:f>
        <x:v>6.133333333333333</x:v>
      </x:c>
      <x:c r="S4" s="36" t="n">
        <x:f>IF(C4=0,0,(D4*(J4+L4)+(E4+G4)*J4+(F4+G4)*L4)/C4)</x:f>
        <x:v>5.55</x:v>
      </x:c>
    </x:row>
    <x:row r="5">
      <x:c r="A5" s="6" t="str">
        <x:v>FG-004</x:v>
      </x:c>
      <x:c r="B5" s="7" t="str">
        <x:f>IFERROR(INDEX('Product_Master'!$D$2:$D$25,MATCH(A5,'Product_Master'!$A$2:$A$25,0)),"")</x:f>
        <x:v>Line 1</x:v>
      </x:c>
      <x:c r="C5" s="89" t="n">
        <x:f>IFERROR(INDEX('Product_Master'!$H$2:$H$25,MATCH(A5,'Product_Master'!$A$2:$A$25,0)),0)</x:f>
        <x:v>420</x:v>
      </x:c>
      <x:c r="D5" s="89" t="n">
        <x:v>1</x:v>
      </x:c>
      <x:c r="E5" s="89" t="n">
        <x:v>3</x:v>
      </x:c>
      <x:c r="F5" s="89" t="n">
        <x:v>4</x:v>
      </x:c>
      <x:c r="G5" s="89" t="n">
        <x:v>0.15</x:v>
      </x:c>
      <x:c r="H5" s="89" t="n">
        <x:f>D5+F5+G5</x:f>
        <x:v>5.15</x:v>
      </x:c>
      <x:c r="I5" s="30" t="n">
        <x:f>IF(H5=0,0,D5/H5)</x:f>
        <x:v>0.1941747572815534</x:v>
      </x:c>
      <x:c r="J5" s="34" t="n">
        <x:f>'Cost_Assumptions'!$B$8</x:f>
        <x:v>32.5</x:v>
      </x:c>
      <x:c r="K5" s="30" t="n">
        <x:f>'Cost_Assumptions'!$B$9</x:f>
        <x:v>1</x:v>
      </x:c>
      <x:c r="L5" s="34" t="n">
        <x:f>'Cost_Assumptions'!$B$10</x:f>
        <x:v>18</x:v>
      </x:c>
      <x:c r="M5" s="34" t="n">
        <x:f>IF(C5=0,0,D5*(J5*K5+L5)/C5)</x:f>
        <x:v>0.12023809523809524</x:v>
      </x:c>
      <x:c r="N5" s="34" t="n">
        <x:f>IF(C5=0,0,((E5+G5)*J5*K5+(F5+G5)*L5)/C5)</x:f>
        <x:v>0.42160714285714285</x:v>
      </x:c>
      <x:c r="O5" s="34" t="n">
        <x:f>M5+N5</x:f>
        <x:v>0.5418452380952381</x:v>
      </x:c>
      <x:c r="P5" s="32" t="n">
        <x:f>IF(C5=0,0,H5/C5)</x:f>
        <x:v>0.012261904761904762</x:v>
      </x:c>
      <x:c r="Q5" s="34" t="n">
        <x:f>IFERROR(INDEX('Cost_Assumptions'!$D$19:$D$20,MATCH(B5,'Cost_Assumptions'!$A$19:$A$20,0)),0)</x:f>
        <x:v>48</x:v>
      </x:c>
      <x:c r="R5" s="34" t="n">
        <x:f>P5*Q5</x:f>
        <x:v>0.5885714285714285</x:v>
      </x:c>
      <x:c r="S5" s="36" t="n">
        <x:f>IF(C5=0,0,(D5*(J5+L5)+(E5+G5)*J5+(F5+G5)*L5)/C5)</x:f>
        <x:v>0.5418452380952381</x:v>
      </x:c>
    </x:row>
    <x:row r="6">
      <x:c r="A6" s="6" t="str">
        <x:v>FG-005</x:v>
      </x:c>
      <x:c r="B6" s="7" t="str">
        <x:f>IFERROR(INDEX('Product_Master'!$D$2:$D$25,MATCH(A6,'Product_Master'!$A$2:$A$25,0)),"")</x:f>
        <x:v>Line 1</x:v>
      </x:c>
      <x:c r="C6" s="89" t="n">
        <x:f>IFERROR(INDEX('Product_Master'!$H$2:$H$25,MATCH(A6,'Product_Master'!$A$2:$A$25,0)),0)</x:f>
        <x:v>240</x:v>
      </x:c>
      <x:c r="D6" s="89" t="n">
        <x:v>2</x:v>
      </x:c>
      <x:c r="E6" s="89" t="n">
        <x:v>4</x:v>
      </x:c>
      <x:c r="F6" s="89" t="n">
        <x:v>8.6</x:v>
      </x:c>
      <x:c r="G6" s="89" t="n">
        <x:v>0.37</x:v>
      </x:c>
      <x:c r="H6" s="89" t="n">
        <x:f>D6+F6+G6</x:f>
        <x:v>10.969999999999999</x:v>
      </x:c>
      <x:c r="I6" s="30" t="n">
        <x:f>IF(H6=0,0,D6/H6)</x:f>
        <x:v>0.1823154056517776</x:v>
      </x:c>
      <x:c r="J6" s="34" t="n">
        <x:f>'Cost_Assumptions'!$B$8</x:f>
        <x:v>32.5</x:v>
      </x:c>
      <x:c r="K6" s="30" t="n">
        <x:f>'Cost_Assumptions'!$B$9</x:f>
        <x:v>1</x:v>
      </x:c>
      <x:c r="L6" s="34" t="n">
        <x:f>'Cost_Assumptions'!$B$10</x:f>
        <x:v>18</x:v>
      </x:c>
      <x:c r="M6" s="34" t="n">
        <x:f>IF(C6=0,0,D6*(J6*K6+L6)/C6)</x:f>
        <x:v>0.42083333333333334</x:v>
      </x:c>
      <x:c r="N6" s="34" t="n">
        <x:f>IF(C6=0,0,((E6+G6)*J6*K6+(F6+G6)*L6)/C6)</x:f>
        <x:v>1.2645208333333333</x:v>
      </x:c>
      <x:c r="O6" s="34" t="n">
        <x:f>M6+N6</x:f>
        <x:v>1.6853541666666667</x:v>
      </x:c>
      <x:c r="P6" s="32" t="n">
        <x:f>IF(C6=0,0,H6/C6)</x:f>
        <x:v>0.04570833333333333</x:v>
      </x:c>
      <x:c r="Q6" s="34" t="n">
        <x:f>IFERROR(INDEX('Cost_Assumptions'!$D$19:$D$20,MATCH(B6,'Cost_Assumptions'!$A$19:$A$20,0)),0)</x:f>
        <x:v>48</x:v>
      </x:c>
      <x:c r="R6" s="34" t="n">
        <x:f>P6*Q6</x:f>
        <x:v>2.194</x:v>
      </x:c>
      <x:c r="S6" s="36" t="n">
        <x:f>IF(C6=0,0,(D6*(J6+L6)+(E6+G6)*J6+(F6+G6)*L6)/C6)</x:f>
        <x:v>1.6853541666666667</x:v>
      </x:c>
    </x:row>
    <x:row r="7">
      <x:c r="A7" s="6" t="str">
        <x:v>FG-006</x:v>
      </x:c>
      <x:c r="B7" s="7" t="str">
        <x:f>IFERROR(INDEX('Product_Master'!$D$2:$D$25,MATCH(A7,'Product_Master'!$A$2:$A$25,0)),"")</x:f>
        <x:v>Line 1</x:v>
      </x:c>
      <x:c r="C7" s="89" t="n">
        <x:f>IFERROR(INDEX('Product_Master'!$H$2:$H$25,MATCH(A7,'Product_Master'!$A$2:$A$25,0)),0)</x:f>
        <x:v>90</x:v>
      </x:c>
      <x:c r="D7" s="89" t="n">
        <x:v>6</x:v>
      </x:c>
      <x:c r="E7" s="89" t="n">
        <x:v>4</x:v>
      </x:c>
      <x:c r="F7" s="89" t="n">
        <x:v>5</x:v>
      </x:c>
      <x:c r="G7" s="89" t="n">
        <x:v>0.4</x:v>
      </x:c>
      <x:c r="H7" s="89" t="n">
        <x:f>D7+F7+G7</x:f>
        <x:v>11.4</x:v>
      </x:c>
      <x:c r="I7" s="30" t="n">
        <x:f>IF(H7=0,0,D7/H7)</x:f>
        <x:v>0.5263157894736842</x:v>
      </x:c>
      <x:c r="J7" s="34" t="n">
        <x:f>'Cost_Assumptions'!$B$8</x:f>
        <x:v>32.5</x:v>
      </x:c>
      <x:c r="K7" s="30" t="n">
        <x:f>'Cost_Assumptions'!$B$9</x:f>
        <x:v>1</x:v>
      </x:c>
      <x:c r="L7" s="34" t="n">
        <x:f>'Cost_Assumptions'!$B$10</x:f>
        <x:v>18</x:v>
      </x:c>
      <x:c r="M7" s="34" t="n">
        <x:f>IF(C7=0,0,D7*(J7*K7+L7)/C7)</x:f>
        <x:v>3.3666666666666667</x:v>
      </x:c>
      <x:c r="N7" s="34" t="n">
        <x:f>IF(C7=0,0,((E7+G7)*J7*K7+(F7+G7)*L7)/C7)</x:f>
        <x:v>2.6688888888888886</x:v>
      </x:c>
      <x:c r="O7" s="34" t="n">
        <x:f>M7+N7</x:f>
        <x:v>6.035555555555556</x:v>
      </x:c>
      <x:c r="P7" s="32" t="n">
        <x:f>IF(C7=0,0,H7/C7)</x:f>
        <x:v>0.12666666666666668</x:v>
      </x:c>
      <x:c r="Q7" s="34" t="n">
        <x:f>IFERROR(INDEX('Cost_Assumptions'!$D$19:$D$20,MATCH(B7,'Cost_Assumptions'!$A$19:$A$20,0)),0)</x:f>
        <x:v>48</x:v>
      </x:c>
      <x:c r="R7" s="34" t="n">
        <x:f>P7*Q7</x:f>
        <x:v>6.08</x:v>
      </x:c>
      <x:c r="S7" s="36" t="n">
        <x:f>IF(C7=0,0,(D7*(J7+L7)+(E7+G7)*J7+(F7+G7)*L7)/C7)</x:f>
        <x:v>6.035555555555556</x:v>
      </x:c>
    </x:row>
    <x:row r="8">
      <x:c r="A8" s="6" t="str">
        <x:v>FG-007</x:v>
      </x:c>
      <x:c r="B8" s="7" t="str">
        <x:f>IFERROR(INDEX('Product_Master'!$D$2:$D$25,MATCH(A8,'Product_Master'!$A$2:$A$25,0)),"")</x:f>
        <x:v>Line 2</x:v>
      </x:c>
      <x:c r="C8" s="89" t="n">
        <x:f>IFERROR(INDEX('Product_Master'!$H$2:$H$25,MATCH(A8,'Product_Master'!$A$2:$A$25,0)),0)</x:f>
        <x:v>360</x:v>
      </x:c>
      <x:c r="D8" s="89" t="n">
        <x:v>1.5</x:v>
      </x:c>
      <x:c r="E8" s="89" t="n">
        <x:v>5.6</x:v>
      </x:c>
      <x:c r="F8" s="89" t="n">
        <x:v>5.9</x:v>
      </x:c>
      <x:c r="G8" s="89" t="n">
        <x:v>0.25</x:v>
      </x:c>
      <x:c r="H8" s="89" t="n">
        <x:f>D8+F8+G8</x:f>
        <x:v>7.65</x:v>
      </x:c>
      <x:c r="I8" s="30" t="n">
        <x:f>IF(H8=0,0,D8/H8)</x:f>
        <x:v>0.19607843137254902</x:v>
      </x:c>
      <x:c r="J8" s="34" t="n">
        <x:f>'Cost_Assumptions'!$B$8</x:f>
        <x:v>32.5</x:v>
      </x:c>
      <x:c r="K8" s="30" t="n">
        <x:f>'Cost_Assumptions'!$B$9</x:f>
        <x:v>1</x:v>
      </x:c>
      <x:c r="L8" s="34" t="n">
        <x:f>'Cost_Assumptions'!$B$10</x:f>
        <x:v>18</x:v>
      </x:c>
      <x:c r="M8" s="34" t="n">
        <x:f>IF(C8=0,0,D8*(J8*K8+L8)/C8)</x:f>
        <x:v>0.21041666666666667</x:v>
      </x:c>
      <x:c r="N8" s="34" t="n">
        <x:f>IF(C8=0,0,((E8+G8)*J8*K8+(F8+G8)*L8)/C8)</x:f>
        <x:v>0.835625</x:v>
      </x:c>
      <x:c r="O8" s="34" t="n">
        <x:f>M8+N8</x:f>
        <x:v>1.0460416666666665</x:v>
      </x:c>
      <x:c r="P8" s="32" t="n">
        <x:f>IF(C8=0,0,H8/C8)</x:f>
        <x:v>0.02125</x:v>
      </x:c>
      <x:c r="Q8" s="34" t="n">
        <x:f>IFERROR(INDEX('Cost_Assumptions'!$D$19:$D$20,MATCH(B8,'Cost_Assumptions'!$A$19:$A$20,0)),0)</x:f>
        <x:v>44.44444444444444</x:v>
      </x:c>
      <x:c r="R8" s="34" t="n">
        <x:f>P8*Q8</x:f>
        <x:v>0.9444444444444445</x:v>
      </x:c>
      <x:c r="S8" s="36" t="n">
        <x:f>IF(C8=0,0,(D8*(J8+L8)+(E8+G8)*J8+(F8+G8)*L8)/C8)</x:f>
        <x:v>1.0460416666666665</x:v>
      </x:c>
    </x:row>
    <x:row r="9">
      <x:c r="A9" s="6" t="str">
        <x:v>FG-008</x:v>
      </x:c>
      <x:c r="B9" s="7" t="str">
        <x:f>IFERROR(INDEX('Product_Master'!$D$2:$D$25,MATCH(A9,'Product_Master'!$A$2:$A$25,0)),"")</x:f>
        <x:v>Line 2</x:v>
      </x:c>
      <x:c r="C9" s="89" t="n">
        <x:f>IFERROR(INDEX('Product_Master'!$H$2:$H$25,MATCH(A9,'Product_Master'!$A$2:$A$25,0)),0)</x:f>
        <x:v>420</x:v>
      </x:c>
      <x:c r="D9" s="89" t="n">
        <x:v>2</x:v>
      </x:c>
      <x:c r="E9" s="89" t="n">
        <x:v>6.4</x:v>
      </x:c>
      <x:c r="F9" s="89" t="n">
        <x:v>6.8</x:v>
      </x:c>
      <x:c r="G9" s="89" t="n">
        <x:v>0.37</x:v>
      </x:c>
      <x:c r="H9" s="89" t="n">
        <x:f>D9+F9+G9</x:f>
        <x:v>9.17</x:v>
      </x:c>
      <x:c r="I9" s="30" t="n">
        <x:f>IF(H9=0,0,D9/H9)</x:f>
        <x:v>0.21810250817884405</x:v>
      </x:c>
      <x:c r="J9" s="34" t="n">
        <x:f>'Cost_Assumptions'!$B$8</x:f>
        <x:v>32.5</x:v>
      </x:c>
      <x:c r="K9" s="30" t="n">
        <x:f>'Cost_Assumptions'!$B$9</x:f>
        <x:v>1</x:v>
      </x:c>
      <x:c r="L9" s="34" t="n">
        <x:f>'Cost_Assumptions'!$B$10</x:f>
        <x:v>18</x:v>
      </x:c>
      <x:c r="M9" s="34" t="n">
        <x:f>IF(C9=0,0,D9*(J9*K9+L9)/C9)</x:f>
        <x:v>0.24047619047619048</x:v>
      </x:c>
      <x:c r="N9" s="34" t="n">
        <x:f>IF(C9=0,0,((E9+G9)*J9*K9+(F9+G9)*L9)/C9)</x:f>
        <x:v>0.831154761904762</x:v>
      </x:c>
      <x:c r="O9" s="34" t="n">
        <x:f>M9+N9</x:f>
        <x:v>1.0716309523809524</x:v>
      </x:c>
      <x:c r="P9" s="32" t="n">
        <x:f>IF(C9=0,0,H9/C9)</x:f>
        <x:v>0.021833333333333333</x:v>
      </x:c>
      <x:c r="Q9" s="34" t="n">
        <x:f>IFERROR(INDEX('Cost_Assumptions'!$D$19:$D$20,MATCH(B9,'Cost_Assumptions'!$A$19:$A$20,0)),0)</x:f>
        <x:v>44.44444444444444</x:v>
      </x:c>
      <x:c r="R9" s="34" t="n">
        <x:f>P9*Q9</x:f>
        <x:v>0.9703703703703703</x:v>
      </x:c>
      <x:c r="S9" s="36" t="n">
        <x:f>IF(C9=0,0,(D9*(J9+L9)+(E9+G9)*J9+(F9+G9)*L9)/C9)</x:f>
        <x:v>1.0716309523809524</x:v>
      </x:c>
    </x:row>
    <x:row r="10">
      <x:c r="A10" s="6" t="str">
        <x:v>FG-009</x:v>
      </x:c>
      <x:c r="B10" s="7" t="str">
        <x:f>IFERROR(INDEX('Product_Master'!$D$2:$D$25,MATCH(A10,'Product_Master'!$A$2:$A$25,0)),"")</x:f>
        <x:v>Line 2</x:v>
      </x:c>
      <x:c r="C10" s="89" t="n">
        <x:f>IFERROR(INDEX('Product_Master'!$H$2:$H$25,MATCH(A10,'Product_Master'!$A$2:$A$25,0)),0)</x:f>
        <x:v>240</x:v>
      </x:c>
      <x:c r="D10" s="89" t="n">
        <x:v>2.5</x:v>
      </x:c>
      <x:c r="E10" s="89" t="n">
        <x:v>4</x:v>
      </x:c>
      <x:c r="F10" s="89" t="n">
        <x:v>7.7</x:v>
      </x:c>
      <x:c r="G10" s="89" t="n">
        <x:v>0.49</x:v>
      </x:c>
      <x:c r="H10" s="89" t="n">
        <x:f>D10+F10+G10</x:f>
        <x:v>10.69</x:v>
      </x:c>
      <x:c r="I10" s="30" t="n">
        <x:f>IF(H10=0,0,D10/H10)</x:f>
        <x:v>0.23386342376052385</x:v>
      </x:c>
      <x:c r="J10" s="34" t="n">
        <x:f>'Cost_Assumptions'!$B$8</x:f>
        <x:v>32.5</x:v>
      </x:c>
      <x:c r="K10" s="30" t="n">
        <x:f>'Cost_Assumptions'!$B$9</x:f>
        <x:v>1</x:v>
      </x:c>
      <x:c r="L10" s="34" t="n">
        <x:f>'Cost_Assumptions'!$B$10</x:f>
        <x:v>18</x:v>
      </x:c>
      <x:c r="M10" s="34" t="n">
        <x:f>IF(C10=0,0,D10*(J10*K10+L10)/C10)</x:f>
        <x:v>0.5260416666666666</x:v>
      </x:c>
      <x:c r="N10" s="34" t="n">
        <x:f>IF(C10=0,0,((E10+G10)*J10*K10+(F10+G10)*L10)/C10)</x:f>
        <x:v>1.2222708333333334</x:v>
      </x:c>
      <x:c r="O10" s="34" t="n">
        <x:f>M10+N10</x:f>
        <x:v>1.7483125</x:v>
      </x:c>
      <x:c r="P10" s="32" t="n">
        <x:f>IF(C10=0,0,H10/C10)</x:f>
        <x:v>0.04454166666666667</x:v>
      </x:c>
      <x:c r="Q10" s="34" t="n">
        <x:f>IFERROR(INDEX('Cost_Assumptions'!$D$19:$D$20,MATCH(B10,'Cost_Assumptions'!$A$19:$A$20,0)),0)</x:f>
        <x:v>44.44444444444444</x:v>
      </x:c>
      <x:c r="R10" s="34" t="n">
        <x:f>P10*Q10</x:f>
        <x:v>1.9796296296296296</x:v>
      </x:c>
      <x:c r="S10" s="36" t="n">
        <x:f>IF(C10=0,0,(D10*(J10+L10)+(E10+G10)*J10+(F10+G10)*L10)/C10)</x:f>
        <x:v>1.7483125000000002</x:v>
      </x:c>
    </x:row>
    <x:row r="11">
      <x:c r="A11" s="6" t="str">
        <x:v>FG-010</x:v>
      </x:c>
      <x:c r="B11" s="7" t="str">
        <x:f>IFERROR(INDEX('Product_Master'!$D$2:$D$25,MATCH(A11,'Product_Master'!$A$2:$A$25,0)),"")</x:f>
        <x:v>Line 2</x:v>
      </x:c>
      <x:c r="C11" s="89" t="n">
        <x:f>IFERROR(INDEX('Product_Master'!$H$2:$H$25,MATCH(A11,'Product_Master'!$A$2:$A$25,0)),0)</x:f>
        <x:v>300</x:v>
      </x:c>
      <x:c r="D11" s="89" t="n">
        <x:v>4</x:v>
      </x:c>
      <x:c r="E11" s="89" t="n">
        <x:v>26</x:v>
      </x:c>
      <x:c r="F11" s="89" t="n">
        <x:v>34</x:v>
      </x:c>
      <x:c r="G11" s="89" t="n">
        <x:v>2</x:v>
      </x:c>
      <x:c r="H11" s="89" t="n">
        <x:f>D11+F11+G11</x:f>
        <x:v>40</x:v>
      </x:c>
      <x:c r="I11" s="30" t="n">
        <x:f>IF(H11=0,0,D11/H11)</x:f>
        <x:v>0.1</x:v>
      </x:c>
      <x:c r="J11" s="34" t="n">
        <x:f>'Cost_Assumptions'!$B$8</x:f>
        <x:v>32.5</x:v>
      </x:c>
      <x:c r="K11" s="30" t="n">
        <x:f>'Cost_Assumptions'!$B$9</x:f>
        <x:v>1</x:v>
      </x:c>
      <x:c r="L11" s="34" t="n">
        <x:f>'Cost_Assumptions'!$B$10</x:f>
        <x:v>18</x:v>
      </x:c>
      <x:c r="M11" s="34" t="n">
        <x:f>IF(C11=0,0,D11*(J11*K11+L11)/C11)</x:f>
        <x:v>0.6733333333333333</x:v>
      </x:c>
      <x:c r="N11" s="34" t="n">
        <x:f>IF(C11=0,0,((E11+G11)*J11*K11+(F11+G11)*L11)/C11)</x:f>
        <x:v>5.193333333333333</x:v>
      </x:c>
      <x:c r="O11" s="34" t="n">
        <x:f>M11+N11</x:f>
        <x:v>5.866666666666667</x:v>
      </x:c>
      <x:c r="P11" s="32" t="n">
        <x:f>IF(C11=0,0,H11/C11)</x:f>
        <x:v>0.13333333333333333</x:v>
      </x:c>
      <x:c r="Q11" s="34" t="n">
        <x:f>IFERROR(INDEX('Cost_Assumptions'!$D$19:$D$20,MATCH(B11,'Cost_Assumptions'!$A$19:$A$20,0)),0)</x:f>
        <x:v>44.44444444444444</x:v>
      </x:c>
      <x:c r="R11" s="34" t="n">
        <x:f>P11*Q11</x:f>
        <x:v>5.925925925925926</x:v>
      </x:c>
      <x:c r="S11" s="36" t="n">
        <x:f>IF(C11=0,0,(D11*(J11+L11)+(E11+G11)*J11+(F11+G11)*L11)/C11)</x:f>
        <x:v>5.866666666666666</x:v>
      </x:c>
    </x:row>
    <x:row r="12">
      <x:c r="A12" s="6" t="str">
        <x:v>FG-011</x:v>
      </x:c>
      <x:c r="B12" s="7" t="str">
        <x:f>IFERROR(INDEX('Product_Master'!$D$2:$D$25,MATCH(A12,'Product_Master'!$A$2:$A$25,0)),"")</x:f>
        <x:v>Line 2</x:v>
      </x:c>
      <x:c r="C12" s="89" t="n">
        <x:f>IFERROR(INDEX('Product_Master'!$H$2:$H$25,MATCH(A12,'Product_Master'!$A$2:$A$25,0)),0)</x:f>
        <x:v>420</x:v>
      </x:c>
      <x:c r="D12" s="89" t="n">
        <x:v>1</x:v>
      </x:c>
      <x:c r="E12" s="89" t="n">
        <x:v>3</x:v>
      </x:c>
      <x:c r="F12" s="89" t="n">
        <x:v>4</x:v>
      </x:c>
      <x:c r="G12" s="89" t="n">
        <x:v>0.15</x:v>
      </x:c>
      <x:c r="H12" s="89" t="n">
        <x:f>D12+F12+G12</x:f>
        <x:v>5.15</x:v>
      </x:c>
      <x:c r="I12" s="30" t="n">
        <x:f>IF(H12=0,0,D12/H12)</x:f>
        <x:v>0.1941747572815534</x:v>
      </x:c>
      <x:c r="J12" s="34" t="n">
        <x:f>'Cost_Assumptions'!$B$8</x:f>
        <x:v>32.5</x:v>
      </x:c>
      <x:c r="K12" s="30" t="n">
        <x:f>'Cost_Assumptions'!$B$9</x:f>
        <x:v>1</x:v>
      </x:c>
      <x:c r="L12" s="34" t="n">
        <x:f>'Cost_Assumptions'!$B$10</x:f>
        <x:v>18</x:v>
      </x:c>
      <x:c r="M12" s="34" t="n">
        <x:f>IF(C12=0,0,D12*(J12*K12+L12)/C12)</x:f>
        <x:v>0.12023809523809524</x:v>
      </x:c>
      <x:c r="N12" s="34" t="n">
        <x:f>IF(C12=0,0,((E12+G12)*J12*K12+(F12+G12)*L12)/C12)</x:f>
        <x:v>0.42160714285714285</x:v>
      </x:c>
      <x:c r="O12" s="34" t="n">
        <x:f>M12+N12</x:f>
        <x:v>0.5418452380952381</x:v>
      </x:c>
      <x:c r="P12" s="32" t="n">
        <x:f>IF(C12=0,0,H12/C12)</x:f>
        <x:v>0.012261904761904762</x:v>
      </x:c>
      <x:c r="Q12" s="34" t="n">
        <x:f>IFERROR(INDEX('Cost_Assumptions'!$D$19:$D$20,MATCH(B12,'Cost_Assumptions'!$A$19:$A$20,0)),0)</x:f>
        <x:v>44.44444444444444</x:v>
      </x:c>
      <x:c r="R12" s="34" t="n">
        <x:f>P12*Q12</x:f>
        <x:v>0.544973544973545</x:v>
      </x:c>
      <x:c r="S12" s="36" t="n">
        <x:f>IF(C12=0,0,(D12*(J12+L12)+(E12+G12)*J12+(F12+G12)*L12)/C12)</x:f>
        <x:v>0.5418452380952381</x:v>
      </x:c>
    </x:row>
    <x:row r="13">
      <x:c r="A13" s="6" t="str">
        <x:v>FG-012</x:v>
      </x:c>
      <x:c r="B13" s="7" t="str">
        <x:f>IFERROR(INDEX('Product_Master'!$D$2:$D$25,MATCH(A13,'Product_Master'!$A$2:$A$25,0)),"")</x:f>
        <x:v>Line 2</x:v>
      </x:c>
      <x:c r="C13" s="89" t="n">
        <x:f>IFERROR(INDEX('Product_Master'!$H$2:$H$25,MATCH(A13,'Product_Master'!$A$2:$A$25,0)),0)</x:f>
        <x:v>420</x:v>
      </x:c>
      <x:c r="D13" s="89" t="n">
        <x:v>2.5</x:v>
      </x:c>
      <x:c r="E13" s="89" t="n">
        <x:v>6.4</x:v>
      </x:c>
      <x:c r="F13" s="89" t="n">
        <x:v>5.9</x:v>
      </x:c>
      <x:c r="G13" s="89" t="n">
        <x:v>0.49</x:v>
      </x:c>
      <x:c r="H13" s="89" t="n">
        <x:f>D13+F13+G13</x:f>
        <x:v>8.89</x:v>
      </x:c>
      <x:c r="I13" s="30" t="n">
        <x:f>IF(H13=0,0,D13/H13)</x:f>
        <x:v>0.281214848143982</x:v>
      </x:c>
      <x:c r="J13" s="34" t="n">
        <x:f>'Cost_Assumptions'!$B$8</x:f>
        <x:v>32.5</x:v>
      </x:c>
      <x:c r="K13" s="30" t="n">
        <x:f>'Cost_Assumptions'!$B$9</x:f>
        <x:v>1</x:v>
      </x:c>
      <x:c r="L13" s="34" t="n">
        <x:f>'Cost_Assumptions'!$B$10</x:f>
        <x:v>18</x:v>
      </x:c>
      <x:c r="M13" s="34" t="n">
        <x:f>IF(C13=0,0,D13*(J13*K13+L13)/C13)</x:f>
        <x:v>0.3005952380952381</x:v>
      </x:c>
      <x:c r="N13" s="34" t="n">
        <x:f>IF(C13=0,0,((E13+G13)*J13*K13+(F13+G13)*L13)/C13)</x:f>
        <x:v>0.8070119047619049</x:v>
      </x:c>
      <x:c r="O13" s="34" t="n">
        <x:f>M13+N13</x:f>
        <x:v>1.107607142857143</x:v>
      </x:c>
      <x:c r="P13" s="32" t="n">
        <x:f>IF(C13=0,0,H13/C13)</x:f>
        <x:v>0.021166666666666667</x:v>
      </x:c>
      <x:c r="Q13" s="34" t="n">
        <x:f>IFERROR(INDEX('Cost_Assumptions'!$D$19:$D$20,MATCH(B13,'Cost_Assumptions'!$A$19:$A$20,0)),0)</x:f>
        <x:v>44.44444444444444</x:v>
      </x:c>
      <x:c r="R13" s="34" t="n">
        <x:f>P13*Q13</x:f>
        <x:v>0.9407407407407408</x:v>
      </x:c>
      <x:c r="S13" s="36" t="n">
        <x:f>IF(C13=0,0,(D13*(J13+L13)+(E13+G13)*J13+(F13+G13)*L13)/C13)</x:f>
        <x:v>1.107607142857143</x:v>
      </x:c>
    </x:row>
    <x:row r="14">
      <x:c r="A14" s="6" t="str">
        <x:v>FG-013</x:v>
      </x:c>
      <x:c r="B14" s="7" t="str">
        <x:f>IFERROR(INDEX('Product_Master'!$D$2:$D$25,MATCH(A14,'Product_Master'!$A$2:$A$25,0)),"")</x:f>
        <x:v>Line 1</x:v>
      </x:c>
      <x:c r="C14" s="89" t="n">
        <x:f>IFERROR(INDEX('Product_Master'!$H$2:$H$25,MATCH(A14,'Product_Master'!$A$2:$A$25,0)),0)</x:f>
        <x:v>90</x:v>
      </x:c>
      <x:c r="D14" s="89" t="n">
        <x:v>6</x:v>
      </x:c>
      <x:c r="E14" s="89" t="n">
        <x:v>4</x:v>
      </x:c>
      <x:c r="F14" s="89" t="n">
        <x:v>5</x:v>
      </x:c>
      <x:c r="G14" s="89" t="n">
        <x:v>0.4</x:v>
      </x:c>
      <x:c r="H14" s="89" t="n">
        <x:f>D14+F14+G14</x:f>
        <x:v>11.4</x:v>
      </x:c>
      <x:c r="I14" s="30" t="n">
        <x:f>IF(H14=0,0,D14/H14)</x:f>
        <x:v>0.5263157894736842</x:v>
      </x:c>
      <x:c r="J14" s="34" t="n">
        <x:f>'Cost_Assumptions'!$B$8</x:f>
        <x:v>32.5</x:v>
      </x:c>
      <x:c r="K14" s="30" t="n">
        <x:f>'Cost_Assumptions'!$B$9</x:f>
        <x:v>1</x:v>
      </x:c>
      <x:c r="L14" s="34" t="n">
        <x:f>'Cost_Assumptions'!$B$10</x:f>
        <x:v>18</x:v>
      </x:c>
      <x:c r="M14" s="34" t="n">
        <x:f>IF(C14=0,0,D14*(J14*K14+L14)/C14)</x:f>
        <x:v>3.3666666666666667</x:v>
      </x:c>
      <x:c r="N14" s="34" t="n">
        <x:f>IF(C14=0,0,((E14+G14)*J14*K14+(F14+G14)*L14)/C14)</x:f>
        <x:v>2.6688888888888886</x:v>
      </x:c>
      <x:c r="O14" s="34" t="n">
        <x:f>M14+N14</x:f>
        <x:v>6.035555555555556</x:v>
      </x:c>
      <x:c r="P14" s="32" t="n">
        <x:f>IF(C14=0,0,H14/C14)</x:f>
        <x:v>0.12666666666666668</x:v>
      </x:c>
      <x:c r="Q14" s="34" t="n">
        <x:f>IFERROR(INDEX('Cost_Assumptions'!$D$19:$D$20,MATCH(B14,'Cost_Assumptions'!$A$19:$A$20,0)),0)</x:f>
        <x:v>48</x:v>
      </x:c>
      <x:c r="R14" s="34" t="n">
        <x:f>P14*Q14</x:f>
        <x:v>6.08</x:v>
      </x:c>
      <x:c r="S14" s="36" t="n">
        <x:f>IF(C14=0,0,(D14*(J14+L14)+(E14+G14)*J14+(F14+G14)*L14)/C14)</x:f>
        <x:v>6.035555555555556</x:v>
      </x:c>
    </x:row>
    <x:row r="15">
      <x:c r="A15" s="6" t="str">
        <x:v>FG-014</x:v>
      </x:c>
      <x:c r="B15" s="7" t="str">
        <x:f>IFERROR(INDEX('Product_Master'!$D$2:$D$25,MATCH(A15,'Product_Master'!$A$2:$A$25,0)),"")</x:f>
        <x:v>Line 1</x:v>
      </x:c>
      <x:c r="C15" s="89" t="n">
        <x:f>IFERROR(INDEX('Product_Master'!$H$2:$H$25,MATCH(A15,'Product_Master'!$A$2:$A$25,0)),0)</x:f>
        <x:v>300</x:v>
      </x:c>
      <x:c r="D15" s="89" t="n">
        <x:v>2</x:v>
      </x:c>
      <x:c r="E15" s="89" t="n">
        <x:v>4.8</x:v>
      </x:c>
      <x:c r="F15" s="89" t="n">
        <x:v>7.7</x:v>
      </x:c>
      <x:c r="G15" s="89" t="n">
        <x:v>0.37</x:v>
      </x:c>
      <x:c r="H15" s="89" t="n">
        <x:f>D15+F15+G15</x:f>
        <x:v>10.069999999999999</x:v>
      </x:c>
      <x:c r="I15" s="30" t="n">
        <x:f>IF(H15=0,0,D15/H15)</x:f>
        <x:v>0.19860973187686198</x:v>
      </x:c>
      <x:c r="J15" s="34" t="n">
        <x:f>'Cost_Assumptions'!$B$8</x:f>
        <x:v>32.5</x:v>
      </x:c>
      <x:c r="K15" s="30" t="n">
        <x:f>'Cost_Assumptions'!$B$9</x:f>
        <x:v>1</x:v>
      </x:c>
      <x:c r="L15" s="34" t="n">
        <x:f>'Cost_Assumptions'!$B$10</x:f>
        <x:v>18</x:v>
      </x:c>
      <x:c r="M15" s="34" t="n">
        <x:f>IF(C15=0,0,D15*(J15*K15+L15)/C15)</x:f>
        <x:v>0.33666666666666667</x:v>
      </x:c>
      <x:c r="N15" s="34" t="n">
        <x:f>IF(C15=0,0,((E15+G15)*J15*K15+(F15+G15)*L15)/C15)</x:f>
        <x:v>1.0442833333333332</x:v>
      </x:c>
      <x:c r="O15" s="34" t="n">
        <x:f>M15+N15</x:f>
        <x:v>1.38095</x:v>
      </x:c>
      <x:c r="P15" s="32" t="n">
        <x:f>IF(C15=0,0,H15/C15)</x:f>
        <x:v>0.03356666666666666</x:v>
      </x:c>
      <x:c r="Q15" s="34" t="n">
        <x:f>IFERROR(INDEX('Cost_Assumptions'!$D$19:$D$20,MATCH(B15,'Cost_Assumptions'!$A$19:$A$20,0)),0)</x:f>
        <x:v>48</x:v>
      </x:c>
      <x:c r="R15" s="34" t="n">
        <x:f>P15*Q15</x:f>
        <x:v>1.6111999999999997</x:v>
      </x:c>
      <x:c r="S15" s="36" t="n">
        <x:f>IF(C15=0,0,(D15*(J15+L15)+(E15+G15)*J15+(F15+G15)*L15)/C15)</x:f>
        <x:v>1.38095</x:v>
      </x:c>
    </x:row>
    <x:row r="16">
      <x:c r="A16" s="6" t="str">
        <x:v>FG-015</x:v>
      </x:c>
      <x:c r="B16" s="7" t="str">
        <x:f>IFERROR(INDEX('Product_Master'!$D$2:$D$25,MATCH(A16,'Product_Master'!$A$2:$A$25,0)),"")</x:f>
        <x:v>Line 1</x:v>
      </x:c>
      <x:c r="C16" s="89" t="n">
        <x:f>IFERROR(INDEX('Product_Master'!$H$2:$H$25,MATCH(A16,'Product_Master'!$A$2:$A$25,0)),0)</x:f>
        <x:v>360</x:v>
      </x:c>
      <x:c r="D16" s="89" t="n">
        <x:v>2.5</x:v>
      </x:c>
      <x:c r="E16" s="89" t="n">
        <x:v>5.6</x:v>
      </x:c>
      <x:c r="F16" s="89" t="n">
        <x:v>8.6</x:v>
      </x:c>
      <x:c r="G16" s="89" t="n">
        <x:v>0.49</x:v>
      </x:c>
      <x:c r="H16" s="89" t="n">
        <x:f>D16+F16+G16</x:f>
        <x:v>11.59</x:v>
      </x:c>
      <x:c r="I16" s="30" t="n">
        <x:f>IF(H16=0,0,D16/H16)</x:f>
        <x:v>0.21570319240724764</x:v>
      </x:c>
      <x:c r="J16" s="34" t="n">
        <x:f>'Cost_Assumptions'!$B$8</x:f>
        <x:v>32.5</x:v>
      </x:c>
      <x:c r="K16" s="30" t="n">
        <x:f>'Cost_Assumptions'!$B$9</x:f>
        <x:v>1</x:v>
      </x:c>
      <x:c r="L16" s="34" t="n">
        <x:f>'Cost_Assumptions'!$B$10</x:f>
        <x:v>18</x:v>
      </x:c>
      <x:c r="M16" s="34" t="n">
        <x:f>IF(C16=0,0,D16*(J16*K16+L16)/C16)</x:f>
        <x:v>0.3506944444444444</x:v>
      </x:c>
      <x:c r="N16" s="34" t="n">
        <x:f>IF(C16=0,0,((E16+G16)*J16*K16+(F16+G16)*L16)/C16)</x:f>
        <x:v>1.0042916666666666</x:v>
      </x:c>
      <x:c r="O16" s="34" t="n">
        <x:f>M16+N16</x:f>
        <x:v>1.354986111111111</x:v>
      </x:c>
      <x:c r="P16" s="32" t="n">
        <x:f>IF(C16=0,0,H16/C16)</x:f>
        <x:v>0.03219444444444444</x:v>
      </x:c>
      <x:c r="Q16" s="34" t="n">
        <x:f>IFERROR(INDEX('Cost_Assumptions'!$D$19:$D$20,MATCH(B16,'Cost_Assumptions'!$A$19:$A$20,0)),0)</x:f>
        <x:v>48</x:v>
      </x:c>
      <x:c r="R16" s="34" t="n">
        <x:f>P16*Q16</x:f>
        <x:v>1.5453333333333332</x:v>
      </x:c>
      <x:c r="S16" s="36" t="n">
        <x:f>IF(C16=0,0,(D16*(J16+L16)+(E16+G16)*J16+(F16+G16)*L16)/C16)</x:f>
        <x:v>1.354986111111111</x:v>
      </x:c>
    </x:row>
    <x:row r="17">
      <x:c r="A17" s="6" t="str">
        <x:v>FG-016</x:v>
      </x:c>
      <x:c r="B17" s="7" t="str">
        <x:f>IFERROR(INDEX('Product_Master'!$D$2:$D$25,MATCH(A17,'Product_Master'!$A$2:$A$25,0)),"")</x:f>
        <x:v>Line 1</x:v>
      </x:c>
      <x:c r="C17" s="89" t="n">
        <x:f>IFERROR(INDEX('Product_Master'!$H$2:$H$25,MATCH(A17,'Product_Master'!$A$2:$A$25,0)),0)</x:f>
        <x:v>420</x:v>
      </x:c>
      <x:c r="D17" s="89" t="n">
        <x:v>4</x:v>
      </x:c>
      <x:c r="E17" s="89" t="n">
        <x:v>26</x:v>
      </x:c>
      <x:c r="F17" s="89" t="n">
        <x:v>34</x:v>
      </x:c>
      <x:c r="G17" s="89" t="n">
        <x:v>2</x:v>
      </x:c>
      <x:c r="H17" s="89" t="n">
        <x:f>D17+F17+G17</x:f>
        <x:v>40</x:v>
      </x:c>
      <x:c r="I17" s="30" t="n">
        <x:f>IF(H17=0,0,D17/H17)</x:f>
        <x:v>0.1</x:v>
      </x:c>
      <x:c r="J17" s="34" t="n">
        <x:f>'Cost_Assumptions'!$B$8</x:f>
        <x:v>32.5</x:v>
      </x:c>
      <x:c r="K17" s="30" t="n">
        <x:f>'Cost_Assumptions'!$B$9</x:f>
        <x:v>1</x:v>
      </x:c>
      <x:c r="L17" s="34" t="n">
        <x:f>'Cost_Assumptions'!$B$10</x:f>
        <x:v>18</x:v>
      </x:c>
      <x:c r="M17" s="34" t="n">
        <x:f>IF(C17=0,0,D17*(J17*K17+L17)/C17)</x:f>
        <x:v>0.48095238095238096</x:v>
      </x:c>
      <x:c r="N17" s="34" t="n">
        <x:f>IF(C17=0,0,((E17+G17)*J17*K17+(F17+G17)*L17)/C17)</x:f>
        <x:v>3.7095238095238097</x:v>
      </x:c>
      <x:c r="O17" s="34" t="n">
        <x:f>M17+N17</x:f>
        <x:v>4.190476190476191</x:v>
      </x:c>
      <x:c r="P17" s="32" t="n">
        <x:f>IF(C17=0,0,H17/C17)</x:f>
        <x:v>0.09523809523809523</x:v>
      </x:c>
      <x:c r="Q17" s="34" t="n">
        <x:f>IFERROR(INDEX('Cost_Assumptions'!$D$19:$D$20,MATCH(B17,'Cost_Assumptions'!$A$19:$A$20,0)),0)</x:f>
        <x:v>48</x:v>
      </x:c>
      <x:c r="R17" s="34" t="n">
        <x:f>P17*Q17</x:f>
        <x:v>4.571428571428571</x:v>
      </x:c>
      <x:c r="S17" s="36" t="n">
        <x:f>IF(C17=0,0,(D17*(J17+L17)+(E17+G17)*J17+(F17+G17)*L17)/C17)</x:f>
        <x:v>4.190476190476191</x:v>
      </x:c>
    </x:row>
    <x:row r="18">
      <x:c r="A18" s="6" t="str">
        <x:v>FG-017</x:v>
      </x:c>
      <x:c r="B18" s="7" t="str">
        <x:f>IFERROR(INDEX('Product_Master'!$D$2:$D$25,MATCH(A18,'Product_Master'!$A$2:$A$25,0)),"")</x:f>
        <x:v>Line 1</x:v>
      </x:c>
      <x:c r="C18" s="89" t="n">
        <x:f>IFERROR(INDEX('Product_Master'!$H$2:$H$25,MATCH(A18,'Product_Master'!$A$2:$A$25,0)),0)</x:f>
        <x:v>420</x:v>
      </x:c>
      <x:c r="D18" s="89" t="n">
        <x:v>1</x:v>
      </x:c>
      <x:c r="E18" s="89" t="n">
        <x:v>3</x:v>
      </x:c>
      <x:c r="F18" s="89" t="n">
        <x:v>4</x:v>
      </x:c>
      <x:c r="G18" s="89" t="n">
        <x:v>0.15</x:v>
      </x:c>
      <x:c r="H18" s="89" t="n">
        <x:f>D18+F18+G18</x:f>
        <x:v>5.15</x:v>
      </x:c>
      <x:c r="I18" s="30" t="n">
        <x:f>IF(H18=0,0,D18/H18)</x:f>
        <x:v>0.1941747572815534</x:v>
      </x:c>
      <x:c r="J18" s="34" t="n">
        <x:f>'Cost_Assumptions'!$B$8</x:f>
        <x:v>32.5</x:v>
      </x:c>
      <x:c r="K18" s="30" t="n">
        <x:f>'Cost_Assumptions'!$B$9</x:f>
        <x:v>1</x:v>
      </x:c>
      <x:c r="L18" s="34" t="n">
        <x:f>'Cost_Assumptions'!$B$10</x:f>
        <x:v>18</x:v>
      </x:c>
      <x:c r="M18" s="34" t="n">
        <x:f>IF(C18=0,0,D18*(J18*K18+L18)/C18)</x:f>
        <x:v>0.12023809523809524</x:v>
      </x:c>
      <x:c r="N18" s="34" t="n">
        <x:f>IF(C18=0,0,((E18+G18)*J18*K18+(F18+G18)*L18)/C18)</x:f>
        <x:v>0.42160714285714285</x:v>
      </x:c>
      <x:c r="O18" s="34" t="n">
        <x:f>M18+N18</x:f>
        <x:v>0.5418452380952381</x:v>
      </x:c>
      <x:c r="P18" s="32" t="n">
        <x:f>IF(C18=0,0,H18/C18)</x:f>
        <x:v>0.012261904761904762</x:v>
      </x:c>
      <x:c r="Q18" s="34" t="n">
        <x:f>IFERROR(INDEX('Cost_Assumptions'!$D$19:$D$20,MATCH(B18,'Cost_Assumptions'!$A$19:$A$20,0)),0)</x:f>
        <x:v>48</x:v>
      </x:c>
      <x:c r="R18" s="34" t="n">
        <x:f>P18*Q18</x:f>
        <x:v>0.5885714285714285</x:v>
      </x:c>
      <x:c r="S18" s="36" t="n">
        <x:f>IF(C18=0,0,(D18*(J18+L18)+(E18+G18)*J18+(F18+G18)*L18)/C18)</x:f>
        <x:v>0.5418452380952381</x:v>
      </x:c>
    </x:row>
    <x:row r="19">
      <x:c r="A19" s="6" t="str">
        <x:v>FG-018</x:v>
      </x:c>
      <x:c r="B19" s="7" t="str">
        <x:f>IFERROR(INDEX('Product_Master'!$D$2:$D$25,MATCH(A19,'Product_Master'!$A$2:$A$25,0)),"")</x:f>
        <x:v>Line 1</x:v>
      </x:c>
      <x:c r="C19" s="89" t="n">
        <x:f>IFERROR(INDEX('Product_Master'!$H$2:$H$25,MATCH(A19,'Product_Master'!$A$2:$A$25,0)),0)</x:f>
        <x:v>300</x:v>
      </x:c>
      <x:c r="D19" s="89" t="n">
        <x:v>2.5</x:v>
      </x:c>
      <x:c r="E19" s="89" t="n">
        <x:v>4.8</x:v>
      </x:c>
      <x:c r="F19" s="89" t="n">
        <x:v>6.8</x:v>
      </x:c>
      <x:c r="G19" s="89" t="n">
        <x:v>0.49</x:v>
      </x:c>
      <x:c r="H19" s="89" t="n">
        <x:f>D19+F19+G19</x:f>
        <x:v>9.790000000000001</x:v>
      </x:c>
      <x:c r="I19" s="30" t="n">
        <x:f>IF(H19=0,0,D19/H19)</x:f>
        <x:v>0.2553626149131767</x:v>
      </x:c>
      <x:c r="J19" s="34" t="n">
        <x:f>'Cost_Assumptions'!$B$8</x:f>
        <x:v>32.5</x:v>
      </x:c>
      <x:c r="K19" s="30" t="n">
        <x:f>'Cost_Assumptions'!$B$9</x:f>
        <x:v>1</x:v>
      </x:c>
      <x:c r="L19" s="34" t="n">
        <x:f>'Cost_Assumptions'!$B$10</x:f>
        <x:v>18</x:v>
      </x:c>
      <x:c r="M19" s="34" t="n">
        <x:f>IF(C19=0,0,D19*(J19*K19+L19)/C19)</x:f>
        <x:v>0.42083333333333334</x:v>
      </x:c>
      <x:c r="N19" s="34" t="n">
        <x:f>IF(C19=0,0,((E19+G19)*J19*K19+(F19+G19)*L19)/C19)</x:f>
        <x:v>1.0104833333333332</x:v>
      </x:c>
      <x:c r="O19" s="34" t="n">
        <x:f>M19+N19</x:f>
        <x:v>1.4313166666666666</x:v>
      </x:c>
      <x:c r="P19" s="32" t="n">
        <x:f>IF(C19=0,0,H19/C19)</x:f>
        <x:v>0.032633333333333334</x:v>
      </x:c>
      <x:c r="Q19" s="34" t="n">
        <x:f>IFERROR(INDEX('Cost_Assumptions'!$D$19:$D$20,MATCH(B19,'Cost_Assumptions'!$A$19:$A$20,0)),0)</x:f>
        <x:v>48</x:v>
      </x:c>
      <x:c r="R19" s="34" t="n">
        <x:f>P19*Q19</x:f>
        <x:v>1.5664</x:v>
      </x:c>
      <x:c r="S19" s="36" t="n">
        <x:f>IF(C19=0,0,(D19*(J19+L19)+(E19+G19)*J19+(F19+G19)*L19)/C19)</x:f>
        <x:v>1.4313166666666666</x:v>
      </x:c>
    </x:row>
    <x:row r="20">
      <x:c r="A20" s="6" t="str">
        <x:v>FG-019</x:v>
      </x:c>
      <x:c r="B20" s="7" t="str">
        <x:f>IFERROR(INDEX('Product_Master'!$D$2:$D$25,MATCH(A20,'Product_Master'!$A$2:$A$25,0)),"")</x:f>
        <x:v>Line 2</x:v>
      </x:c>
      <x:c r="C20" s="89" t="n">
        <x:f>IFERROR(INDEX('Product_Master'!$H$2:$H$25,MATCH(A20,'Product_Master'!$A$2:$A$25,0)),0)</x:f>
        <x:v>360</x:v>
      </x:c>
      <x:c r="D20" s="89" t="n">
        <x:v>1.5</x:v>
      </x:c>
      <x:c r="E20" s="89" t="n">
        <x:v>5.6</x:v>
      </x:c>
      <x:c r="F20" s="89" t="n">
        <x:v>7.7</x:v>
      </x:c>
      <x:c r="G20" s="89" t="n">
        <x:v>0.25</x:v>
      </x:c>
      <x:c r="H20" s="89" t="n">
        <x:f>D20+F20+G20</x:f>
        <x:v>9.45</x:v>
      </x:c>
      <x:c r="I20" s="30" t="n">
        <x:f>IF(H20=0,0,D20/H20)</x:f>
        <x:v>0.15873015873015875</x:v>
      </x:c>
      <x:c r="J20" s="34" t="n">
        <x:f>'Cost_Assumptions'!$B$8</x:f>
        <x:v>32.5</x:v>
      </x:c>
      <x:c r="K20" s="30" t="n">
        <x:f>'Cost_Assumptions'!$B$9</x:f>
        <x:v>1</x:v>
      </x:c>
      <x:c r="L20" s="34" t="n">
        <x:f>'Cost_Assumptions'!$B$10</x:f>
        <x:v>18</x:v>
      </x:c>
      <x:c r="M20" s="34" t="n">
        <x:f>IF(C20=0,0,D20*(J20*K20+L20)/C20)</x:f>
        <x:v>0.21041666666666667</x:v>
      </x:c>
      <x:c r="N20" s="34" t="n">
        <x:f>IF(C20=0,0,((E20+G20)*J20*K20+(F20+G20)*L20)/C20)</x:f>
        <x:v>0.925625</x:v>
      </x:c>
      <x:c r="O20" s="34" t="n">
        <x:f>M20+N20</x:f>
        <x:v>1.1360416666666666</x:v>
      </x:c>
      <x:c r="P20" s="32" t="n">
        <x:f>IF(C20=0,0,H20/C20)</x:f>
        <x:v>0.02625</x:v>
      </x:c>
      <x:c r="Q20" s="34" t="n">
        <x:f>IFERROR(INDEX('Cost_Assumptions'!$D$19:$D$20,MATCH(B20,'Cost_Assumptions'!$A$19:$A$20,0)),0)</x:f>
        <x:v>44.44444444444444</x:v>
      </x:c>
      <x:c r="R20" s="34" t="n">
        <x:f>P20*Q20</x:f>
        <x:v>1.1666666666666665</x:v>
      </x:c>
      <x:c r="S20" s="36" t="n">
        <x:f>IF(C20=0,0,(D20*(J20+L20)+(E20+G20)*J20+(F20+G20)*L20)/C20)</x:f>
        <x:v>1.1360416666666668</x:v>
      </x:c>
    </x:row>
    <x:row r="21">
      <x:c r="A21" s="6" t="str">
        <x:v>FG-020</x:v>
      </x:c>
      <x:c r="B21" s="7" t="str">
        <x:f>IFERROR(INDEX('Product_Master'!$D$2:$D$25,MATCH(A21,'Product_Master'!$A$2:$A$25,0)),"")</x:f>
        <x:v>Line 2</x:v>
      </x:c>
      <x:c r="C21" s="89" t="n">
        <x:f>IFERROR(INDEX('Product_Master'!$H$2:$H$25,MATCH(A21,'Product_Master'!$A$2:$A$25,0)),0)</x:f>
        <x:v>90</x:v>
      </x:c>
      <x:c r="D21" s="89" t="n">
        <x:v>6</x:v>
      </x:c>
      <x:c r="E21" s="89" t="n">
        <x:v>4</x:v>
      </x:c>
      <x:c r="F21" s="89" t="n">
        <x:v>5</x:v>
      </x:c>
      <x:c r="G21" s="89" t="n">
        <x:v>0.4</x:v>
      </x:c>
      <x:c r="H21" s="89" t="n">
        <x:f>D21+F21+G21</x:f>
        <x:v>11.4</x:v>
      </x:c>
      <x:c r="I21" s="30" t="n">
        <x:f>IF(H21=0,0,D21/H21)</x:f>
        <x:v>0.5263157894736842</x:v>
      </x:c>
      <x:c r="J21" s="34" t="n">
        <x:f>'Cost_Assumptions'!$B$8</x:f>
        <x:v>32.5</x:v>
      </x:c>
      <x:c r="K21" s="30" t="n">
        <x:f>'Cost_Assumptions'!$B$9</x:f>
        <x:v>1</x:v>
      </x:c>
      <x:c r="L21" s="34" t="n">
        <x:f>'Cost_Assumptions'!$B$10</x:f>
        <x:v>18</x:v>
      </x:c>
      <x:c r="M21" s="34" t="n">
        <x:f>IF(C21=0,0,D21*(J21*K21+L21)/C21)</x:f>
        <x:v>3.3666666666666667</x:v>
      </x:c>
      <x:c r="N21" s="34" t="n">
        <x:f>IF(C21=0,0,((E21+G21)*J21*K21+(F21+G21)*L21)/C21)</x:f>
        <x:v>2.6688888888888886</x:v>
      </x:c>
      <x:c r="O21" s="34" t="n">
        <x:f>M21+N21</x:f>
        <x:v>6.035555555555556</x:v>
      </x:c>
      <x:c r="P21" s="32" t="n">
        <x:f>IF(C21=0,0,H21/C21)</x:f>
        <x:v>0.12666666666666668</x:v>
      </x:c>
      <x:c r="Q21" s="34" t="n">
        <x:f>IFERROR(INDEX('Cost_Assumptions'!$D$19:$D$20,MATCH(B21,'Cost_Assumptions'!$A$19:$A$20,0)),0)</x:f>
        <x:v>44.44444444444444</x:v>
      </x:c>
      <x:c r="R21" s="34" t="n">
        <x:f>P21*Q21</x:f>
        <x:v>5.62962962962963</x:v>
      </x:c>
      <x:c r="S21" s="36" t="n">
        <x:f>IF(C21=0,0,(D21*(J21+L21)+(E21+G21)*J21+(F21+G21)*L21)/C21)</x:f>
        <x:v>6.035555555555556</x:v>
      </x:c>
    </x:row>
    <x:row r="22">
      <x:c r="A22" s="6" t="str">
        <x:v>FG-021</x:v>
      </x:c>
      <x:c r="B22" s="7" t="str">
        <x:f>IFERROR(INDEX('Product_Master'!$D$2:$D$25,MATCH(A22,'Product_Master'!$A$2:$A$25,0)),"")</x:f>
        <x:v>Line 2</x:v>
      </x:c>
      <x:c r="C22" s="89" t="n">
        <x:f>IFERROR(INDEX('Product_Master'!$H$2:$H$25,MATCH(A22,'Product_Master'!$A$2:$A$25,0)),0)</x:f>
        <x:v>240</x:v>
      </x:c>
      <x:c r="D22" s="89" t="n">
        <x:v>2.5</x:v>
      </x:c>
      <x:c r="E22" s="89" t="n">
        <x:v>4</x:v>
      </x:c>
      <x:c r="F22" s="89" t="n">
        <x:v>5</x:v>
      </x:c>
      <x:c r="G22" s="89" t="n">
        <x:v>0.49</x:v>
      </x:c>
      <x:c r="H22" s="89" t="n">
        <x:f>D22+F22+G22</x:f>
        <x:v>7.99</x:v>
      </x:c>
      <x:c r="I22" s="30" t="n">
        <x:f>IF(H22=0,0,D22/H22)</x:f>
        <x:v>0.31289111389236546</x:v>
      </x:c>
      <x:c r="J22" s="34" t="n">
        <x:f>'Cost_Assumptions'!$B$8</x:f>
        <x:v>32.5</x:v>
      </x:c>
      <x:c r="K22" s="30" t="n">
        <x:f>'Cost_Assumptions'!$B$9</x:f>
        <x:v>1</x:v>
      </x:c>
      <x:c r="L22" s="34" t="n">
        <x:f>'Cost_Assumptions'!$B$10</x:f>
        <x:v>18</x:v>
      </x:c>
      <x:c r="M22" s="34" t="n">
        <x:f>IF(C22=0,0,D22*(J22*K22+L22)/C22)</x:f>
        <x:v>0.5260416666666666</x:v>
      </x:c>
      <x:c r="N22" s="34" t="n">
        <x:f>IF(C22=0,0,((E22+G22)*J22*K22+(F22+G22)*L22)/C22)</x:f>
        <x:v>1.0197708333333333</x:v>
      </x:c>
      <x:c r="O22" s="34" t="n">
        <x:f>M22+N22</x:f>
        <x:v>1.5458124999999998</x:v>
      </x:c>
      <x:c r="P22" s="32" t="n">
        <x:f>IF(C22=0,0,H22/C22)</x:f>
        <x:v>0.03329166666666667</x:v>
      </x:c>
      <x:c r="Q22" s="34" t="n">
        <x:f>IFERROR(INDEX('Cost_Assumptions'!$D$19:$D$20,MATCH(B22,'Cost_Assumptions'!$A$19:$A$20,0)),0)</x:f>
        <x:v>44.44444444444444</x:v>
      </x:c>
      <x:c r="R22" s="34" t="n">
        <x:f>P22*Q22</x:f>
        <x:v>1.4796296296296299</x:v>
      </x:c>
      <x:c r="S22" s="36" t="n">
        <x:f>IF(C22=0,0,(D22*(J22+L22)+(E22+G22)*J22+(F22+G22)*L22)/C22)</x:f>
        <x:v>1.5458125</x:v>
      </x:c>
    </x:row>
    <x:row r="23">
      <x:c r="A23" s="6" t="str">
        <x:v>FG-022</x:v>
      </x:c>
      <x:c r="B23" s="7" t="str">
        <x:f>IFERROR(INDEX('Product_Master'!$D$2:$D$25,MATCH(A23,'Product_Master'!$A$2:$A$25,0)),"")</x:f>
        <x:v>Line 2</x:v>
      </x:c>
      <x:c r="C23" s="89" t="n">
        <x:f>IFERROR(INDEX('Product_Master'!$H$2:$H$25,MATCH(A23,'Product_Master'!$A$2:$A$25,0)),0)</x:f>
        <x:v>420</x:v>
      </x:c>
      <x:c r="D23" s="89" t="n">
        <x:v>1</x:v>
      </x:c>
      <x:c r="E23" s="89" t="n">
        <x:v>3</x:v>
      </x:c>
      <x:c r="F23" s="89" t="n">
        <x:v>4</x:v>
      </x:c>
      <x:c r="G23" s="89" t="n">
        <x:v>0.15</x:v>
      </x:c>
      <x:c r="H23" s="89" t="n">
        <x:f>D23+F23+G23</x:f>
        <x:v>5.15</x:v>
      </x:c>
      <x:c r="I23" s="30" t="n">
        <x:f>IF(H23=0,0,D23/H23)</x:f>
        <x:v>0.1941747572815534</x:v>
      </x:c>
      <x:c r="J23" s="34" t="n">
        <x:f>'Cost_Assumptions'!$B$8</x:f>
        <x:v>32.5</x:v>
      </x:c>
      <x:c r="K23" s="30" t="n">
        <x:f>'Cost_Assumptions'!$B$9</x:f>
        <x:v>1</x:v>
      </x:c>
      <x:c r="L23" s="34" t="n">
        <x:f>'Cost_Assumptions'!$B$10</x:f>
        <x:v>18</x:v>
      </x:c>
      <x:c r="M23" s="34" t="n">
        <x:f>IF(C23=0,0,D23*(J23*K23+L23)/C23)</x:f>
        <x:v>0.12023809523809524</x:v>
      </x:c>
      <x:c r="N23" s="34" t="n">
        <x:f>IF(C23=0,0,((E23+G23)*J23*K23+(F23+G23)*L23)/C23)</x:f>
        <x:v>0.42160714285714285</x:v>
      </x:c>
      <x:c r="O23" s="34" t="n">
        <x:f>M23+N23</x:f>
        <x:v>0.5418452380952381</x:v>
      </x:c>
      <x:c r="P23" s="32" t="n">
        <x:f>IF(C23=0,0,H23/C23)</x:f>
        <x:v>0.012261904761904762</x:v>
      </x:c>
      <x:c r="Q23" s="34" t="n">
        <x:f>IFERROR(INDEX('Cost_Assumptions'!$D$19:$D$20,MATCH(B23,'Cost_Assumptions'!$A$19:$A$20,0)),0)</x:f>
        <x:v>44.44444444444444</x:v>
      </x:c>
      <x:c r="R23" s="34" t="n">
        <x:f>P23*Q23</x:f>
        <x:v>0.544973544973545</x:v>
      </x:c>
      <x:c r="S23" s="36" t="n">
        <x:f>IF(C23=0,0,(D23*(J23+L23)+(E23+G23)*J23+(F23+G23)*L23)/C23)</x:f>
        <x:v>0.5418452380952381</x:v>
      </x:c>
    </x:row>
    <x:row r="24">
      <x:c r="A24" s="6" t="str">
        <x:v>FG-023</x:v>
      </x:c>
      <x:c r="B24" s="7" t="str">
        <x:f>IFERROR(INDEX('Product_Master'!$D$2:$D$25,MATCH(A24,'Product_Master'!$A$2:$A$25,0)),"")</x:f>
        <x:v>Line 2</x:v>
      </x:c>
      <x:c r="C24" s="89" t="n">
        <x:f>IFERROR(INDEX('Product_Master'!$H$2:$H$25,MATCH(A24,'Product_Master'!$A$2:$A$25,0)),0)</x:f>
        <x:v>360</x:v>
      </x:c>
      <x:c r="D24" s="89" t="n">
        <x:v>2</x:v>
      </x:c>
      <x:c r="E24" s="89" t="n">
        <x:v>5.6</x:v>
      </x:c>
      <x:c r="F24" s="89" t="n">
        <x:v>6.8</x:v>
      </x:c>
      <x:c r="G24" s="89" t="n">
        <x:v>0.37</x:v>
      </x:c>
      <x:c r="H24" s="89" t="n">
        <x:f>D24+F24+G24</x:f>
        <x:v>9.17</x:v>
      </x:c>
      <x:c r="I24" s="30" t="n">
        <x:f>IF(H24=0,0,D24/H24)</x:f>
        <x:v>0.21810250817884405</x:v>
      </x:c>
      <x:c r="J24" s="34" t="n">
        <x:f>'Cost_Assumptions'!$B$8</x:f>
        <x:v>32.5</x:v>
      </x:c>
      <x:c r="K24" s="30" t="n">
        <x:f>'Cost_Assumptions'!$B$9</x:f>
        <x:v>1</x:v>
      </x:c>
      <x:c r="L24" s="34" t="n">
        <x:f>'Cost_Assumptions'!$B$10</x:f>
        <x:v>18</x:v>
      </x:c>
      <x:c r="M24" s="34" t="n">
        <x:f>IF(C24=0,0,D24*(J24*K24+L24)/C24)</x:f>
        <x:v>0.28055555555555556</x:v>
      </x:c>
      <x:c r="N24" s="34" t="n">
        <x:f>IF(C24=0,0,((E24+G24)*J24*K24+(F24+G24)*L24)/C24)</x:f>
        <x:v>0.8974583333333335</x:v>
      </x:c>
      <x:c r="O24" s="34" t="n">
        <x:f>M24+N24</x:f>
        <x:v>1.1780138888888891</x:v>
      </x:c>
      <x:c r="P24" s="32" t="n">
        <x:f>IF(C24=0,0,H24/C24)</x:f>
        <x:v>0.025472222222222222</x:v>
      </x:c>
      <x:c r="Q24" s="34" t="n">
        <x:f>IFERROR(INDEX('Cost_Assumptions'!$D$19:$D$20,MATCH(B24,'Cost_Assumptions'!$A$19:$A$20,0)),0)</x:f>
        <x:v>44.44444444444444</x:v>
      </x:c>
      <x:c r="R24" s="34" t="n">
        <x:f>P24*Q24</x:f>
        <x:v>1.1320987654320986</x:v>
      </x:c>
      <x:c r="S24" s="36" t="n">
        <x:f>IF(C24=0,0,(D24*(J24+L24)+(E24+G24)*J24+(F24+G24)*L24)/C24)</x:f>
        <x:v>1.178013888888889</x:v>
      </x:c>
    </x:row>
    <x:row r="25">
      <x:c r="A25" s="9" t="str">
        <x:v>FG-024</x:v>
      </x:c>
      <x:c r="B25" s="10" t="str">
        <x:f>IFERROR(INDEX('Product_Master'!$D$2:$D$25,MATCH(A25,'Product_Master'!$A$2:$A$25,0)),"")</x:f>
        <x:v>Line 2</x:v>
      </x:c>
      <x:c r="C25" s="90" t="n">
        <x:f>IFERROR(INDEX('Product_Master'!$H$2:$H$25,MATCH(A25,'Product_Master'!$A$2:$A$25,0)),0)</x:f>
        <x:v>420</x:v>
      </x:c>
      <x:c r="D25" s="90" t="n">
        <x:v>2.5</x:v>
      </x:c>
      <x:c r="E25" s="90" t="n">
        <x:v>6.4</x:v>
      </x:c>
      <x:c r="F25" s="90" t="n">
        <x:v>7.7</x:v>
      </x:c>
      <x:c r="G25" s="90" t="n">
        <x:v>0.49</x:v>
      </x:c>
      <x:c r="H25" s="90" t="n">
        <x:f>D25+F25+G25</x:f>
        <x:v>10.69</x:v>
      </x:c>
      <x:c r="I25" s="31" t="n">
        <x:f>IF(H25=0,0,D25/H25)</x:f>
        <x:v>0.23386342376052385</x:v>
      </x:c>
      <x:c r="J25" s="35" t="n">
        <x:f>'Cost_Assumptions'!$B$8</x:f>
        <x:v>32.5</x:v>
      </x:c>
      <x:c r="K25" s="31" t="n">
        <x:f>'Cost_Assumptions'!$B$9</x:f>
        <x:v>1</x:v>
      </x:c>
      <x:c r="L25" s="35" t="n">
        <x:f>'Cost_Assumptions'!$B$10</x:f>
        <x:v>18</x:v>
      </x:c>
      <x:c r="M25" s="35" t="n">
        <x:f>IF(C25=0,0,D25*(J25*K25+L25)/C25)</x:f>
        <x:v>0.3005952380952381</x:v>
      </x:c>
      <x:c r="N25" s="35" t="n">
        <x:f>IF(C25=0,0,((E25+G25)*J25*K25+(F25+G25)*L25)/C25)</x:f>
        <x:v>0.8841547619047619</x:v>
      </x:c>
      <x:c r="O25" s="35" t="n">
        <x:f>M25+N25</x:f>
        <x:v>1.18475</x:v>
      </x:c>
      <x:c r="P25" s="33" t="n">
        <x:f>IF(C25=0,0,H25/C25)</x:f>
        <x:v>0.025452380952380952</x:v>
      </x:c>
      <x:c r="Q25" s="35" t="n">
        <x:f>IFERROR(INDEX('Cost_Assumptions'!$D$19:$D$20,MATCH(B25,'Cost_Assumptions'!$A$19:$A$20,0)),0)</x:f>
        <x:v>44.44444444444444</x:v>
      </x:c>
      <x:c r="R25" s="35" t="n">
        <x:f>P25*Q25</x:f>
        <x:v>1.1312169312169311</x:v>
      </x:c>
      <x:c r="S25" s="37" t="n">
        <x:f>IF(C25=0,0,(D25*(J25+L25)+(E25+G25)*J25+(F25+G25)*L25)/C25)</x:f>
        <x:v>1.18475</x:v>
      </x:c>
    </x:row>
  </x:sheetData>
  <x:pageMargins left="0.7" right="0.7" top="0.75" bottom="0.75" header="0.3" footer="0.3"/>
  <x:tableParts count="1">
    <x:tablePart xmlns:r="http://schemas.openxmlformats.org/officeDocument/2006/relationships" r:id="Re81e7fdec19443ce"/>
  </x:tableParts>
</x:worksheet>
</file>

<file path=xl/worksheets/sheet6.xml><?xml version="1.0" encoding="utf-8"?>
<x:worksheet xmlns:x="http://schemas.openxmlformats.org/spreadsheetml/2006/main">
  <x:sheetViews>
    <x:sheetView showGridLines="0" workbookViewId="0"/>
  </x:sheetViews>
  <x:sheetFormatPr defaultRowHeight="15"/>
  <x:cols>
    <x:col min="1" max="1" width="29" hidden="0" customWidth="1"/>
    <x:col min="2" max="2" width="24" hidden="0" customWidth="1"/>
    <x:col min="3" max="3" width="24" hidden="0" customWidth="1"/>
    <x:col min="4" max="4" width="56" hidden="0" customWidth="1"/>
    <x:col min="5" max="5" width="25" hidden="0" customWidth="1"/>
    <x:col min="6" max="6" width="23" hidden="0" customWidth="1"/>
  </x:cols>
  <x:sheetData>
    <x:row r="1" ht="34" customHeight="1">
      <x:c r="A1" s="41" t="str">
        <x:v>CB3 WORKS  |  DEMO 03 — COST &amp; DECISION ASSUMPTIONS</x:v>
      </x:c>
      <x:c r="B1" s="41"/>
      <x:c r="C1" s="41"/>
      <x:c r="D1" s="41"/>
      <x:c r="E1" s="41"/>
      <x:c r="F1" s="41"/>
    </x:row>
    <x:row r="3" ht="22" customHeight="1">
      <x:c r="A3" s="44" t="str">
        <x:v>ORANGE CELLS ARE EDITABLE / REPLACE ONLY WITH CLIENT-APPROVED POLICY</x:v>
      </x:c>
      <x:c r="B3" s="44"/>
      <x:c r="C3" s="44"/>
      <x:c r="D3" s="44"/>
      <x:c r="E3" s="44"/>
      <x:c r="F3" s="44"/>
    </x:row>
    <x:row r="5" ht="24" customHeight="1">
      <x:c r="A5" s="46" t="str">
        <x:v>Assumption</x:v>
      </x:c>
      <x:c r="B5" s="46" t="str">
        <x:v>Value</x:v>
      </x:c>
      <x:c r="C5" s="46" t="str">
        <x:v>Units</x:v>
      </x:c>
      <x:c r="D5" s="46" t="str">
        <x:v>How the model uses it</x:v>
      </x:c>
    </x:row>
    <x:row r="6" ht="32" customHeight="1">
      <x:c r="A6" s="48" t="str">
        <x:v>Report Start Date</x:v>
      </x:c>
      <x:c r="B6" s="72" t="n">
        <x:v>45901</x:v>
      </x:c>
      <x:c r="C6" s="52" t="str">
        <x:v>date</x:v>
      </x:c>
      <x:c r="D6" s="52" t="str">
        <x:v>Trailing-12-month synthetic analysis period</x:v>
      </x:c>
    </x:row>
    <x:row r="7" ht="32" customHeight="1">
      <x:c r="A7" s="48" t="str">
        <x:v>Report End Date</x:v>
      </x:c>
      <x:c r="B7" s="73" t="n">
        <x:v>46265</x:v>
      </x:c>
      <x:c r="C7" s="52" t="str">
        <x:v>date</x:v>
      </x:c>
      <x:c r="D7" s="52" t="str">
        <x:v>Trailing-12-month synthetic analysis period</x:v>
      </x:c>
    </x:row>
    <x:row r="8" ht="32" customHeight="1">
      <x:c r="A8" s="48" t="str">
        <x:v>Loaded Direct Labor Rate</x:v>
      </x:c>
      <x:c r="B8" s="74" t="n">
        <x:v>32.5</x:v>
      </x:c>
      <x:c r="C8" s="52" t="str">
        <x:v>$ / labor hour</x:v>
      </x:c>
      <x:c r="D8" s="52" t="str">
        <x:v>Setup, run and rework conversion cost</x:v>
      </x:c>
    </x:row>
    <x:row r="9" ht="42" customHeight="1">
      <x:c r="A9" s="48" t="str">
        <x:v>Direct Labor Variable Factor</x:v>
      </x:c>
      <x:c r="B9" s="75" t="n">
        <x:v>1</x:v>
      </x:c>
      <x:c r="C9" s="52" t="str">
        <x:v>% included in contribution margin</x:v>
      </x:c>
      <x:c r="D9" s="52" t="str">
        <x:v>Variable share used in CM; full direct labor remains in manufacturing COGS / gross profit</x:v>
      </x:c>
    </x:row>
    <x:row r="10" ht="32" customHeight="1">
      <x:c r="A10" s="48" t="str">
        <x:v>Variable Machine &amp; Utilities Rate</x:v>
      </x:c>
      <x:c r="B10" s="74" t="n">
        <x:v>18</x:v>
      </x:c>
      <x:c r="C10" s="52" t="str">
        <x:v>$ / machine hour</x:v>
      </x:c>
      <x:c r="D10" s="52" t="str">
        <x:v>Setup, run and rework conversion cost</x:v>
      </x:c>
    </x:row>
    <x:row r="11" ht="32" customHeight="1">
      <x:c r="A11" s="48" t="str">
        <x:v>Capacity Drag Threshold</x:v>
      </x:c>
      <x:c r="B11" s="74" t="n">
        <x:v>120</x:v>
      </x:c>
      <x:c r="C11" s="52" t="str">
        <x:v>$ contribution / constrained hr</x:v>
      </x:c>
      <x:c r="D11" s="52" t="str">
        <x:v>Flags products consuming scarce time at low return</x:v>
      </x:c>
    </x:row>
    <x:row r="12" ht="32" customHeight="1">
      <x:c r="A12" s="48" t="str">
        <x:v>Setup Share Threshold</x:v>
      </x:c>
      <x:c r="B12" s="75" t="n">
        <x:v>0.35</x:v>
      </x:c>
      <x:c r="C12" s="52" t="str">
        <x:v>% of constrained hours</x:v>
      </x:c>
      <x:c r="D12" s="52" t="str">
        <x:v>Flags likely batch-size, MOQ or changeover opportunity</x:v>
      </x:c>
    </x:row>
    <x:row r="13" ht="32" customHeight="1">
      <x:c r="A13" s="48" t="str">
        <x:v>Default Target CM</x:v>
      </x:c>
      <x:c r="B13" s="75" t="n">
        <x:v>0.3</x:v>
      </x:c>
      <x:c r="C13" s="52" t="str">
        <x:v>% of net sales</x:v>
      </x:c>
      <x:c r="D13" s="52" t="str">
        <x:v>Fallback only when a SKU-specific target is unavailable</x:v>
      </x:c>
    </x:row>
    <x:row r="14" ht="32" customHeight="1">
      <x:c r="A14" s="48" t="str">
        <x:v>Protect &amp; Grow CM Premium</x:v>
      </x:c>
      <x:c r="B14" s="75" t="n">
        <x:v>0.05</x:v>
      </x:c>
      <x:c r="C14" s="52" t="str">
        <x:v>% above SKU target CM</x:v>
      </x:c>
      <x:c r="D14" s="52" t="str">
        <x:v>Requires both this margin premium and acceptable constrained-hour return</x:v>
      </x:c>
    </x:row>
    <x:row r="15" ht="32" customHeight="1">
      <x:c r="A15" s="49" t="str">
        <x:v>Customer Freight Review Threshold</x:v>
      </x:c>
      <x:c r="B15" s="76" t="n">
        <x:v>0.15</x:v>
      </x:c>
      <x:c r="C15" s="53" t="str">
        <x:v>% of customer-SKU net sales</x:v>
      </x:c>
      <x:c r="D15" s="53" t="str">
        <x:v>Flags customer-SKU combinations with unusually high outbound freight</x:v>
      </x:c>
    </x:row>
    <x:row r="16" ht="24" customHeight="1"/>
    <x:row r="17" ht="24" customHeight="1"/>
    <x:row r="18" ht="32" customHeight="1">
      <x:c r="A18" s="46" t="str">
        <x:v>Production Line</x:v>
      </x:c>
      <x:c r="B18" s="46" t="str">
        <x:v>Fixed Manufacturing OH Pool</x:v>
      </x:c>
      <x:c r="C18" s="46" t="str">
        <x:v>Practical Capacity Hours</x:v>
      </x:c>
      <x:c r="D18" s="46" t="str">
        <x:v>Directional OH Rate / Hour</x:v>
      </x:c>
      <x:c r="E18" s="46" t="str">
        <x:v>OH Applied to SKU Volume</x:v>
      </x:c>
      <x:c r="F18" s="46" t="str">
        <x:v>Idle / Unallocated OH</x:v>
      </x:c>
    </x:row>
    <x:row r="19" ht="24" customHeight="1">
      <x:c r="A19" s="48" t="str">
        <x:v>Line 1</x:v>
      </x:c>
      <x:c r="B19" s="77" t="n">
        <x:v>1200000</x:v>
      </x:c>
      <x:c r="C19" s="80" t="n">
        <x:v>25000</x:v>
      </x:c>
      <x:c r="D19" s="83" t="n">
        <x:f>IF(C19=0,0,B19/C19)</x:f>
        <x:v>48</x:v>
      </x:c>
      <x:c r="E19" s="85" t="n">
        <x:f>SUMIFS('SKU_Profitability'!$X$2:$X$25,'SKU_Profitability'!$D$2:$D$25,A19)</x:f>
        <x:v>61754.39219047619</x:v>
      </x:c>
      <x:c r="F19" s="85" t="n">
        <x:f>B19-E19</x:f>
        <x:v>1138245.6078095238</x:v>
      </x:c>
    </x:row>
    <x:row r="20" ht="24" customHeight="1">
      <x:c r="A20" s="48" t="str">
        <x:v>Line 2</x:v>
      </x:c>
      <x:c r="B20" s="78" t="n">
        <x:v>800000</x:v>
      </x:c>
      <x:c r="C20" s="81" t="n">
        <x:v>18000</x:v>
      </x:c>
      <x:c r="D20" s="83" t="n">
        <x:f>IF(C20=0,0,B20/C20)</x:f>
        <x:v>44.44444444444444</x:v>
      </x:c>
      <x:c r="E20" s="85" t="n">
        <x:f>SUMIFS('SKU_Profitability'!$X$2:$X$25,'SKU_Profitability'!$D$2:$D$25,A20)</x:f>
        <x:v>47230.15079365079</x:v>
      </x:c>
      <x:c r="F20" s="85" t="n">
        <x:f>B20-E20</x:f>
        <x:v>752769.8492063492</x:v>
      </x:c>
    </x:row>
    <x:row r="21" ht="24" customHeight="1">
      <x:c r="A21" s="48" t="str">
        <x:v>TOTAL</x:v>
      </x:c>
      <x:c r="B21" s="79" t="n">
        <x:f>SUM(B19:B20)</x:f>
        <x:v>2000000</x:v>
      </x:c>
      <x:c r="C21" s="82" t="n">
        <x:f>SUM(C19:C20)</x:f>
        <x:v>43000</x:v>
      </x:c>
      <x:c r="D21" s="84" t="n">
        <x:f>IF(C21=0,0,B21/C21)</x:f>
        <x:v>46.51162790697674</x:v>
      </x:c>
      <x:c r="E21" s="79" t="n">
        <x:f>SUM(E19:E20)</x:f>
        <x:v>108984.54298412698</x:v>
      </x:c>
      <x:c r="F21" s="79" t="n">
        <x:f>SUM(F19:F20)</x:f>
        <x:v>1891015.457015873</x:v>
      </x:c>
    </x:row>
    <x:row r="24" ht="22" customHeight="1">
      <x:c r="A24" s="88" t="str">
        <x:v>CB3 WORKS  |  MANUFACTURING DATA &amp; AUTOMATION  |  CB3WORKS.COM  |  SYNTHETIC DEMO 03</x:v>
      </x:c>
      <x:c r="B24" s="88"/>
      <x:c r="C24" s="88"/>
      <x:c r="D24" s="88"/>
      <x:c r="E24" s="88"/>
      <x:c r="F24" s="88"/>
    </x:row>
  </x:sheetData>
  <x:mergeCells>
    <x:mergeCell ref="A1:F1"/>
    <x:mergeCell ref="A3:F3"/>
    <x:mergeCell ref="A24:F24"/>
  </x:mergeCells>
  <x:dataValidations count="3">
    <x:dataValidation type="decimal" operator="between" sqref="B9">
      <x:formula1>0</x:formula1>
      <x:formula2>1</x:formula2>
    </x:dataValidation>
    <x:dataValidation type="decimal" operator="between" sqref="B12">
      <x:formula1>0</x:formula1>
      <x:formula2>1</x:formula2>
    </x:dataValidation>
    <x:dataValidation type="decimal" operator="between" sqref="B13:B15">
      <x:formula1>0</x:formula1>
      <x:formula2>1</x:formula2>
    </x:dataValidation>
  </x:dataValidations>
  <x:pageMargins left="0.7" right="0.7" top="0.75" bottom="0.75" header="0.3" footer="0.3"/>
  <x:legacyDrawing xmlns:r="http://schemas.openxmlformats.org/officeDocument/2006/relationships" r:id="R183121a2ed0d46a9"/>
</x:worksheet>
</file>

<file path=xl/worksheets/sheet7.xml><?xml version="1.0" encoding="utf-8"?>
<x:worksheet xmlns:x="http://schemas.openxmlformats.org/spreadsheetml/2006/main">
  <x:sheetViews>
    <x:sheetView showGridLines="0" workbookViewId="0"/>
  </x:sheetViews>
  <x:sheetFormatPr defaultRowHeight="15"/>
  <x:cols>
    <x:col min="1" max="1" width="11" hidden="0" customWidth="1"/>
    <x:col min="2" max="2" width="25" hidden="0" customWidth="1"/>
    <x:col min="3" max="3" width="16" hidden="0" customWidth="1"/>
    <x:col min="4" max="4" width="15" hidden="0" customWidth="1"/>
    <x:col min="5" max="5" width="12" hidden="0" customWidth="1"/>
    <x:col min="6" max="6" width="13" hidden="0" customWidth="1"/>
    <x:col min="7" max="7" width="14" hidden="0" customWidth="1"/>
    <x:col min="8" max="8" width="18" hidden="0" customWidth="1"/>
    <x:col min="9" max="9" width="16" hidden="0" customWidth="1"/>
    <x:col min="10" max="10" width="14" hidden="0" customWidth="1"/>
    <x:col min="11" max="11" width="18" hidden="0" customWidth="1"/>
    <x:col min="12" max="12" width="17" hidden="0" customWidth="1"/>
    <x:col min="13" max="13" width="17" hidden="0" customWidth="1"/>
    <x:col min="14" max="14" width="19" hidden="0" customWidth="1"/>
    <x:col min="15" max="15" width="24" hidden="0" customWidth="1"/>
    <x:col min="16" max="16" width="24" hidden="0" customWidth="1"/>
    <x:col min="17" max="17" width="21" hidden="0" customWidth="1"/>
    <x:col min="18" max="18" width="19" hidden="0" customWidth="1"/>
    <x:col min="19" max="19" width="20" hidden="0" customWidth="1"/>
    <x:col min="20" max="20" width="20" hidden="0" customWidth="1"/>
    <x:col min="21" max="21" width="20" hidden="0" customWidth="1"/>
    <x:col min="22" max="22" width="18" hidden="0" customWidth="1"/>
    <x:col min="23" max="23" width="25" hidden="0" customWidth="1"/>
    <x:col min="24" max="24" width="17" hidden="0" customWidth="1"/>
    <x:col min="25" max="25" width="18" hidden="0" customWidth="1"/>
    <x:col min="26" max="26" width="16" hidden="0" customWidth="1"/>
    <x:col min="27" max="27" width="16" hidden="0" customWidth="1"/>
    <x:col min="28" max="28" width="20" hidden="0" customWidth="1"/>
    <x:col min="29" max="29" width="19" hidden="0" customWidth="1"/>
    <x:col min="30" max="30" width="14" hidden="0" customWidth="1"/>
    <x:col min="31" max="31" width="18" hidden="0" customWidth="1"/>
    <x:col min="32" max="32" width="16" hidden="0" customWidth="1"/>
    <x:col min="33" max="33" width="24" hidden="0" customWidth="1"/>
    <x:col min="34" max="34" width="13" hidden="0" customWidth="1"/>
    <x:col min="35" max="35" width="22" hidden="0" customWidth="1"/>
    <x:col min="36" max="36" width="14" hidden="0" customWidth="1"/>
    <x:col min="37" max="37" width="16" hidden="0" customWidth="1"/>
    <x:col min="38" max="38" width="12" hidden="0" customWidth="1"/>
    <x:col min="39" max="39" width="16" hidden="0" customWidth="1"/>
    <x:col min="40" max="40" width="15" hidden="0" customWidth="1"/>
  </x:cols>
  <x:sheetData>
    <x:row r="1" ht="30" customHeight="1">
      <x:c r="A1" s="20" t="str">
        <x:v>SKU</x:v>
      </x:c>
      <x:c r="B1" s="21" t="str">
        <x:v>Description</x:v>
      </x:c>
      <x:c r="C1" s="21" t="str">
        <x:v>Product Family</x:v>
      </x:c>
      <x:c r="D1" s="21" t="str">
        <x:v>Production Line</x:v>
      </x:c>
      <x:c r="E1" s="21" t="str">
        <x:v>Strategic?</x:v>
      </x:c>
      <x:c r="F1" s="21" t="str">
        <x:v>Units Shipped</x:v>
      </x:c>
      <x:c r="G1" s="21" t="str">
        <x:v>Gross Sales</x:v>
      </x:c>
      <x:c r="H1" s="21" t="str">
        <x:v>Discounts / Rebates</x:v>
      </x:c>
      <x:c r="I1" s="21" t="str">
        <x:v>Returns / Credits</x:v>
      </x:c>
      <x:c r="J1" s="21" t="str">
        <x:v>Net Sales</x:v>
      </x:c>
      <x:c r="K1" s="21" t="str">
        <x:v>Avg Net Price / Unit</x:v>
      </x:c>
      <x:c r="L1" s="21" t="str">
        <x:v>Outbound Freight</x:v>
      </x:c>
      <x:c r="M1" s="21" t="str">
        <x:v>Commission / Fees</x:v>
      </x:c>
      <x:c r="N1" s="21" t="str">
        <x:v>Material Cost / Unit</x:v>
      </x:c>
      <x:c r="O1" s="21" t="str">
        <x:v>Setup / Changeover Cost / Unit</x:v>
      </x:c>
      <x:c r="P1" s="21" t="str">
        <x:v>Run + Rework Conversion / Unit</x:v>
      </x:c>
      <x:c r="Q1" s="21" t="str">
        <x:v>All-in Variable Cost / Unit</x:v>
      </x:c>
      <x:c r="R1" s="21" t="str">
        <x:v>Annual Material Cost</x:v>
      </x:c>
      <x:c r="S1" s="21" t="str">
        <x:v>Annual Conversion Cost</x:v>
      </x:c>
      <x:c r="T1" s="21" t="str">
        <x:v>Contribution Margin $</x:v>
      </x:c>
      <x:c r="U1" s="21" t="str">
        <x:v>Contribution Margin %</x:v>
      </x:c>
      <x:c r="V1" s="21" t="str">
        <x:v>Constrained Hours</x:v>
      </x:c>
      <x:c r="W1" s="21" t="str">
        <x:v>Contribution / Constrained Hr</x:v>
      </x:c>
      <x:c r="X1" s="21" t="str">
        <x:v>Applied Fixed OH</x:v>
      </x:c>
      <x:c r="Y1" s="21" t="str">
        <x:v>Manufacturing COGS</x:v>
      </x:c>
      <x:c r="Z1" s="21" t="str">
        <x:v>Gross Profit</x:v>
      </x:c>
      <x:c r="AA1" s="21" t="str">
        <x:v>Gross Margin %</x:v>
      </x:c>
      <x:c r="AB1" s="21" t="str">
        <x:v>Allocated SKU Result</x:v>
      </x:c>
      <x:c r="AC1" s="21" t="str">
        <x:v>Allocated Result %</x:v>
      </x:c>
      <x:c r="AD1" s="21" t="str">
        <x:v>Target CM %</x:v>
      </x:c>
      <x:c r="AE1" s="21" t="str">
        <x:v>Price to Target CM</x:v>
      </x:c>
      <x:c r="AF1" s="21" t="str">
        <x:v>Price Gap / Unit</x:v>
      </x:c>
      <x:c r="AG1" s="21" t="str">
        <x:v>Estimated Annual Opportunity</x:v>
      </x:c>
      <x:c r="AH1" s="21" t="str">
        <x:v>Setup Share</x:v>
      </x:c>
      <x:c r="AI1" s="21" t="str">
        <x:v>Recommended Review</x:v>
      </x:c>
      <x:c r="AJ1" s="21" t="str">
        <x:v>Data Quality</x:v>
      </x:c>
      <x:c r="AK1" s="21" t="str">
        <x:v>Action Sort Key (internal)</x:v>
      </x:c>
      <x:c r="AL1" s="21" t="str">
        <x:v>Action Rank</x:v>
      </x:c>
      <x:c r="AM1" s="21" t="str">
        <x:v>Contribution Rank</x:v>
      </x:c>
      <x:c r="AN1" s="21" t="str">
        <x:v>Opportunity Rank</x:v>
      </x:c>
    </x:row>
    <x:row r="2">
      <x:c r="A2" s="6" t="str">
        <x:v>FG-001</x:v>
      </x:c>
      <x:c r="B2" s="7" t="str">
        <x:f>IFERROR(INDEX('Product_Master'!$B$2:$B$25,MATCH(A2,'Product_Master'!$A$2:$A$25,0)),"")</x:f>
        <x:v>Shield White Product</x:v>
      </x:c>
      <x:c r="C2" s="7" t="str">
        <x:f>IFERROR(INDEX('Product_Master'!$C$2:$C$25,MATCH(A2,'Product_Master'!$A$2:$A$25,0)),"")</x:f>
        <x:v>Shield</x:v>
      </x:c>
      <x:c r="D2" s="7" t="str">
        <x:f>IFERROR(INDEX('Product_Master'!$D$2:$D$25,MATCH(A2,'Product_Master'!$A$2:$A$25,0)),"")</x:f>
        <x:v>Line 1</x:v>
      </x:c>
      <x:c r="E2" s="7" t="str">
        <x:f>IFERROR(INDEX('Product_Master'!$E$2:$E$25,MATCH(A2,'Product_Master'!$A$2:$A$25,0)),"No")</x:f>
        <x:v>No</x:v>
      </x:c>
      <x:c r="F2" s="24" t="n">
        <x:f>SUMIFS('Sales_Detail'!$E$2:$E$289,'Sales_Detail'!$D$2:$D$289,A2,'Sales_Detail'!$A$2:$A$289,"&gt;="&amp;'Cost_Assumptions'!$B$6,'Sales_Detail'!$A$2:$A$289,"&lt;="&amp;'Cost_Assumptions'!$B$7)</x:f>
        <x:v>1620</x:v>
      </x:c>
      <x:c r="G2" s="26" t="n">
        <x:f>SUMIFS('Sales_Detail'!$F$2:$F$289,'Sales_Detail'!$D$2:$D$289,A2,'Sales_Detail'!$A$2:$A$289,"&gt;="&amp;'Cost_Assumptions'!$B$6,'Sales_Detail'!$A$2:$A$289,"&lt;="&amp;'Cost_Assumptions'!$B$7)</x:f>
        <x:v>24136.81272220313</x:v>
      </x:c>
      <x:c r="H2" s="26" t="n">
        <x:f>SUMIFS('Sales_Detail'!$G$2:$G$289,'Sales_Detail'!$D$2:$D$289,A2,'Sales_Detail'!$A$2:$A$289,"&gt;="&amp;'Cost_Assumptions'!$B$6,'Sales_Detail'!$A$2:$A$289,"&lt;="&amp;'Cost_Assumptions'!$B$7)</x:f>
        <x:v>603.4203180550784</x:v>
      </x:c>
      <x:c r="I2" s="26" t="n">
        <x:f>SUMIFS('Sales_Detail'!$H$2:$H$289,'Sales_Detail'!$D$2:$D$289,A2,'Sales_Detail'!$A$2:$A$289,"&gt;="&amp;'Cost_Assumptions'!$B$6,'Sales_Detail'!$A$2:$A$289,"&lt;="&amp;'Cost_Assumptions'!$B$7)</x:f>
        <x:v>194.54324612112123</x:v>
      </x:c>
      <x:c r="J2" s="26" t="n">
        <x:f>SUMIFS('Sales_Detail'!$I$2:$I$289,'Sales_Detail'!$D$2:$D$289,A2,'Sales_Detail'!$A$2:$A$289,"&gt;="&amp;'Cost_Assumptions'!$B$6,'Sales_Detail'!$A$2:$A$289,"&lt;="&amp;'Cost_Assumptions'!$B$7)</x:f>
        <x:v>23338.849158026936</x:v>
      </x:c>
      <x:c r="K2" s="26" t="n">
        <x:f>IF(F2=0,0,J2/F2)</x:f>
        <x:v>14.406697011127738</x:v>
      </x:c>
      <x:c r="L2" s="26" t="n">
        <x:f>SUMIFS('Sales_Detail'!$J$2:$J$289,'Sales_Detail'!$D$2:$D$289,A2,'Sales_Detail'!$A$2:$A$289,"&gt;="&amp;'Cost_Assumptions'!$B$6,'Sales_Detail'!$A$2:$A$289,"&lt;="&amp;'Cost_Assumptions'!$B$7)</x:f>
        <x:v>3879.8999999999996</x:v>
      </x:c>
      <x:c r="M2" s="26" t="n">
        <x:f>SUMIFS('Sales_Detail'!$K$2:$K$289,'Sales_Detail'!$D$2:$D$289,A2,'Sales_Detail'!$A$2:$A$289,"&gt;="&amp;'Cost_Assumptions'!$B$6,'Sales_Detail'!$A$2:$A$289,"&lt;="&amp;'Cost_Assumptions'!$B$7)</x:f>
        <x:v>420.09928484448477</x:v>
      </x:c>
      <x:c r="N2" s="26" t="n">
        <x:f>SUMIFS('BOM_Cost'!$H$2:$H$121,'BOM_Cost'!$A$2:$A$121,A2)</x:f>
        <x:v>11.035428631999999</x:v>
      </x:c>
      <x:c r="O2" s="26" t="n">
        <x:f>IFERROR(INDEX('Routing'!$M$2:$M$25,MATCH(A2,'Routing'!$A$2:$A$25,0)),0)</x:f>
        <x:v>0.315625</x:v>
      </x:c>
      <x:c r="P2" s="26" t="n">
        <x:f>IFERROR(INDEX('Routing'!$N$2:$N$25,MATCH(A2,'Routing'!$A$2:$A$25,0)),0)</x:f>
        <x:v>0.9692708333333333</x:v>
      </x:c>
      <x:c r="Q2" s="26" t="n">
        <x:f>N2+O2+P2+IF(F2=0,0,(L2+M2)/F2)</x:f>
        <x:v>14.974645011533632</x:v>
      </x:c>
      <x:c r="R2" s="26" t="n">
        <x:f>F2*N2</x:f>
        <x:v>17877.394383839997</x:v>
      </x:c>
      <x:c r="S2" s="26" t="n">
        <x:f>F2*(O2+P2)</x:f>
        <x:v>2081.53125</x:v>
      </x:c>
      <x:c r="T2" s="26" t="n">
        <x:f>J2-L2-M2-R2-S2</x:f>
        <x:v>-920.0757606575426</x:v>
      </x:c>
      <x:c r="U2" s="30" t="n">
        <x:f>IF(J2=0,0,T2/J2)</x:f>
        <x:v>-0.039422499131286454</x:v>
      </x:c>
      <x:c r="V2" s="89" t="n">
        <x:f>F2*IFERROR(INDEX('Routing'!$P$2:$P$25,MATCH(A2,'Routing'!$A$2:$A$25,0)),0)</x:f>
        <x:v>45.5625</x:v>
      </x:c>
      <x:c r="W2" s="26" t="n">
        <x:f>IF(V2=0,0,T2/V2)</x:f>
        <x:v>-20.193706681098327</x:v>
      </x:c>
      <x:c r="X2" s="26" t="n">
        <x:f>F2*IFERROR(INDEX('Routing'!$R$2:$R$25,MATCH(A2,'Routing'!$A$2:$A$25,0)),0)</x:f>
        <x:v>2187</x:v>
      </x:c>
      <x:c r="Y2" s="26" t="n">
        <x:f>R2+F2*IFERROR(INDEX('Routing'!$S$2:$S$25,MATCH(A2,'Routing'!$A$2:$A$25,0)),0)+X2</x:f>
        <x:v>22145.925633839997</x:v>
      </x:c>
      <x:c r="Z2" s="26" t="n">
        <x:f>J2-Y2</x:f>
        <x:v>1192.9235241869392</x:v>
      </x:c>
      <x:c r="AA2" s="30" t="n">
        <x:f>IF(J2=0,0,Z2/J2)</x:f>
        <x:v>0.05111321111463873</x:v>
      </x:c>
      <x:c r="AB2" s="26" t="n">
        <x:f>T2-X2</x:f>
        <x:v>-3107.0757606575426</x:v>
      </x:c>
      <x:c r="AC2" s="30" t="n">
        <x:f>IF(J2=0,0,AB2/J2)</x:f>
        <x:v>-0.1331289190662139</x:v>
      </x:c>
      <x:c r="AD2" s="30" t="n">
        <x:f>IFERROR(IF(AND(INDEX('Product_Master'!$G$2:$G$25,MATCH(A2,'Product_Master'!$A$2:$A$25,0))&gt;0,INDEX('Product_Master'!$G$2:$G$25,MATCH(A2,'Product_Master'!$A$2:$A$25,0))&lt;1),INDEX('Product_Master'!$G$2:$G$25,MATCH(A2,'Product_Master'!$A$2:$A$25,0)),'Cost_Assumptions'!$B$13),'Cost_Assumptions'!$B$13)</x:f>
        <x:v>0.3</x:v>
      </x:c>
      <x:c r="AE2" s="26" t="n">
        <x:f>IF(OR(F2=0,J2=0,(1-AD2-M2/J2)&lt;=0),0,(Q2-M2/F2)/(1-AD2-M2/J2))</x:f>
        <x:v>21.57672208993157</x:v>
      </x:c>
      <x:c r="AF2" s="26" t="n">
        <x:f>MAX(0,AE2-K2)</x:f>
        <x:v>7.1700250788038336</x:v>
      </x:c>
      <x:c r="AG2" s="26" t="n">
        <x:f>AF2*F2</x:f>
        <x:v>11615.44062766221</x:v>
      </x:c>
      <x:c r="AH2" s="30" t="n">
        <x:f>IFERROR(INDEX('Routing'!$I$2:$I$25,MATCH(A2,'Routing'!$A$2:$A$25,0)),0)</x:f>
        <x:v>0.2222222222222222</x:v>
      </x:c>
      <x:c r="AI2" s="7" t="str">
        <x:f>IF(AJ2="REVIEW","DATA REVIEW",IF(E2="Yes","STRATEGIC REVIEW",IF(T2&lt;=0,"IMMEDIATE REVIEW",IF(U2&lt;AD2,"PRICE / COST REVIEW",IF(AH2&gt;'Cost_Assumptions'!$B$12,"BATCH / MOQ REVIEW",IF(W2&lt;'Cost_Assumptions'!$B$11,"CAPACITY DRAG",IF(AND(U2&gt;=AD2+'Cost_Assumptions'!$B$14,W2&gt;='Cost_Assumptions'!$B$11),"PROTECT &amp; GROW","MONITOR")))))))</x:f>
        <x:v>IMMEDIATE REVIEW</x:v>
      </x:c>
      <x:c r="AJ2" s="7" t="str">
        <x:f>IF(OR(COUNTIF('BOM_Cost'!$A$2:$A$121,A2)=0,COUNTIF('Routing'!$A$2:$A$25,A2)=0,F2&lt;=0,K2&lt;=0,IFERROR(INDEX('Product_Master'!$N$2:$N$25,MATCH(A2,'Product_Master'!$A$2:$A$25,0)),"REVIEW")="REVIEW"),"REVIEW","OK")</x:f>
        <x:v>OK</x:v>
      </x:c>
      <x:c r="AK2" s="32" t="n">
        <x:f>IF(AI2="DATA REVIEW",8,IF(AI2="STRATEGIC REVIEW",7,IF(AI2="IMMEDIATE REVIEW",6,IF(AI2="PRICE / COST REVIEW",5,IF(AI2="CAPACITY DRAG",4,IF(AI2="BATCH / MOQ REVIEW",3,IF(AI2="PROTECT &amp; GROW",2,1)))))))+MIN(0.8,AG2/10000000)+MIN(0.1,ABS(MIN(T2,0))/10000000)+ROW()/100000000</x:f>
        <x:v>6.0012535716388316</x:v>
      </x:c>
      <x:c r="AL2" s="91" t="n">
        <x:f>RANK(AK2,$AK$2:$AK$25,0)</x:f>
        <x:v>6</x:v>
      </x:c>
      <x:c r="AM2" s="91" t="n">
        <x:f>RANK(T2,$T$2:$T$25,0)</x:f>
        <x:v>22</x:v>
      </x:c>
      <x:c r="AN2" s="92" t="n">
        <x:f>RANK(AG2,$AG$2:$AG$25,0)</x:f>
        <x:v>8</x:v>
      </x:c>
    </x:row>
    <x:row r="3">
      <x:c r="A3" s="6" t="str">
        <x:v>FG-002</x:v>
      </x:c>
      <x:c r="B3" s="7" t="str">
        <x:f>IFERROR(INDEX('Product_Master'!$B$2:$B$25,MATCH(A3,'Product_Master'!$A$2:$A$25,0)),"")</x:f>
        <x:v>Shield Black Product</x:v>
      </x:c>
      <x:c r="C3" s="7" t="str">
        <x:f>IFERROR(INDEX('Product_Master'!$C$2:$C$25,MATCH(A3,'Product_Master'!$A$2:$A$25,0)),"")</x:f>
        <x:v>Shield</x:v>
      </x:c>
      <x:c r="D3" s="7" t="str">
        <x:f>IFERROR(INDEX('Product_Master'!$D$2:$D$25,MATCH(A3,'Product_Master'!$A$2:$A$25,0)),"")</x:f>
        <x:v>Line 1</x:v>
      </x:c>
      <x:c r="E3" s="7" t="str">
        <x:f>IFERROR(INDEX('Product_Master'!$E$2:$E$25,MATCH(A3,'Product_Master'!$A$2:$A$25,0)),"No")</x:f>
        <x:v>No</x:v>
      </x:c>
      <x:c r="F3" s="24" t="n">
        <x:f>SUMIFS('Sales_Detail'!$E$2:$E$289,'Sales_Detail'!$D$2:$D$289,A3,'Sales_Detail'!$A$2:$A$289,"&gt;="&amp;'Cost_Assumptions'!$B$6,'Sales_Detail'!$A$2:$A$289,"&lt;="&amp;'Cost_Assumptions'!$B$7)</x:f>
        <x:v>3140</x:v>
      </x:c>
      <x:c r="G3" s="26" t="n">
        <x:f>SUMIFS('Sales_Detail'!$F$2:$F$289,'Sales_Detail'!$D$2:$D$289,A3,'Sales_Detail'!$A$2:$A$289,"&gt;="&amp;'Cost_Assumptions'!$B$6,'Sales_Detail'!$A$2:$A$289,"&lt;="&amp;'Cost_Assumptions'!$B$7)</x:f>
        <x:v>58865.99150201365</x:v>
      </x:c>
      <x:c r="H3" s="26" t="n">
        <x:f>SUMIFS('Sales_Detail'!$G$2:$G$289,'Sales_Detail'!$D$2:$D$289,A3,'Sales_Detail'!$A$2:$A$289,"&gt;="&amp;'Cost_Assumptions'!$B$6,'Sales_Detail'!$A$2:$A$289,"&lt;="&amp;'Cost_Assumptions'!$B$7)</x:f>
        <x:v>1824.8457365624229</x:v>
      </x:c>
      <x:c r="I3" s="26" t="n">
        <x:f>SUMIFS('Sales_Detail'!$H$2:$H$289,'Sales_Detail'!$D$2:$D$289,A3,'Sales_Detail'!$A$2:$A$289,"&gt;="&amp;'Cost_Assumptions'!$B$6,'Sales_Detail'!$A$2:$A$289,"&lt;="&amp;'Cost_Assumptions'!$B$7)</x:f>
        <x:v>168.11516299478382</x:v>
      </x:c>
      <x:c r="J3" s="26" t="n">
        <x:f>SUMIFS('Sales_Detail'!$I$2:$I$289,'Sales_Detail'!$D$2:$D$289,A3,'Sales_Detail'!$A$2:$A$289,"&gt;="&amp;'Cost_Assumptions'!$B$6,'Sales_Detail'!$A$2:$A$289,"&lt;="&amp;'Cost_Assumptions'!$B$7)</x:f>
        <x:v>56873.030602456434</x:v>
      </x:c>
      <x:c r="K3" s="26" t="n">
        <x:f>IF(F3=0,0,J3/F3)</x:f>
        <x:v>18.11243012817084</x:v>
      </x:c>
      <x:c r="L3" s="26" t="n">
        <x:f>SUMIFS('Sales_Detail'!$J$2:$J$289,'Sales_Detail'!$D$2:$D$289,A3,'Sales_Detail'!$A$2:$A$289,"&gt;="&amp;'Cost_Assumptions'!$B$6,'Sales_Detail'!$A$2:$A$289,"&lt;="&amp;'Cost_Assumptions'!$B$7)</x:f>
        <x:v>10786.449999999999</x:v>
      </x:c>
      <x:c r="M3" s="26" t="n">
        <x:f>SUMIFS('Sales_Detail'!$K$2:$K$289,'Sales_Detail'!$D$2:$D$289,A3,'Sales_Detail'!$A$2:$A$289,"&gt;="&amp;'Cost_Assumptions'!$B$6,'Sales_Detail'!$A$2:$A$289,"&lt;="&amp;'Cost_Assumptions'!$B$7)</x:f>
        <x:v>1251.2066732540416</x:v>
      </x:c>
      <x:c r="N3" s="26" t="n">
        <x:f>SUMIFS('BOM_Cost'!$H$2:$H$121,'BOM_Cost'!$A$2:$A$121,A3)</x:f>
        <x:v>9.803123702499999</x:v>
      </x:c>
      <x:c r="O3" s="26" t="n">
        <x:f>IFERROR(INDEX('Routing'!$M$2:$M$25,MATCH(A3,'Routing'!$A$2:$A$25,0)),0)</x:f>
        <x:v>0.33666666666666667</x:v>
      </x:c>
      <x:c r="P3" s="26" t="n">
        <x:f>IFERROR(INDEX('Routing'!$N$2:$N$25,MATCH(A3,'Routing'!$A$2:$A$25,0)),0)</x:f>
        <x:v>0.9362833333333334</x:v>
      </x:c>
      <x:c r="Q3" s="26" t="n">
        <x:f>N3+O3+P3+IF(F3=0,0,(L3+M3)/F3)</x:f>
        <x:v>14.909722324555426</x:v>
      </x:c>
      <x:c r="R3" s="26" t="n">
        <x:f>F3*N3</x:f>
        <x:v>30781.808425849995</x:v>
      </x:c>
      <x:c r="S3" s="26" t="n">
        <x:f>F3*(O3+P3)</x:f>
        <x:v>3997.063</x:v>
      </x:c>
      <x:c r="T3" s="26" t="n">
        <x:f>J3-L3-M3-R3-S3</x:f>
        <x:v>10056.502503352402</x:v>
      </x:c>
      <x:c r="U3" s="30" t="n">
        <x:f>IF(J3=0,0,T3/J3)</x:f>
        <x:v>0.17682374926786557</x:v>
      </x:c>
      <x:c r="V3" s="89" t="n">
        <x:f>F3*IFERROR(INDEX('Routing'!$P$2:$P$25,MATCH(A3,'Routing'!$A$2:$A$25,0)),0)</x:f>
        <x:v>86.55933333333333</x:v>
      </x:c>
      <x:c r="W3" s="26" t="n">
        <x:f>IF(V3=0,0,T3/V3)</x:f>
        <x:v>116.1804523681529</x:v>
      </x:c>
      <x:c r="X3" s="26" t="n">
        <x:f>F3*IFERROR(INDEX('Routing'!$R$2:$R$25,MATCH(A3,'Routing'!$A$2:$A$25,0)),0)</x:f>
        <x:v>4154.848</x:v>
      </x:c>
      <x:c r="Y3" s="26" t="n">
        <x:f>R3+F3*IFERROR(INDEX('Routing'!$S$2:$S$25,MATCH(A3,'Routing'!$A$2:$A$25,0)),0)+X3</x:f>
        <x:v>38933.719425849995</x:v>
      </x:c>
      <x:c r="Z3" s="26" t="n">
        <x:f>J3-Y3</x:f>
        <x:v>17939.31117660644</x:v>
      </x:c>
      <x:c r="AA3" s="30" t="n">
        <x:f>IF(J3=0,0,Z3/J3)</x:f>
        <x:v>0.3154273824794491</x:v>
      </x:c>
      <x:c r="AB3" s="26" t="n">
        <x:f>T3-X3</x:f>
        <x:v>5901.654503352402</x:v>
      </x:c>
      <x:c r="AC3" s="30" t="n">
        <x:f>IF(J3=0,0,AB3/J3)</x:f>
        <x:v>0.10376894708856081</x:v>
      </x:c>
      <x:c r="AD3" s="30" t="n">
        <x:f>IFERROR(IF(AND(INDEX('Product_Master'!$G$2:$G$25,MATCH(A3,'Product_Master'!$A$2:$A$25,0))&gt;0,INDEX('Product_Master'!$G$2:$G$25,MATCH(A3,'Product_Master'!$A$2:$A$25,0))&lt;1),INDEX('Product_Master'!$G$2:$G$25,MATCH(A3,'Product_Master'!$A$2:$A$25,0)),'Cost_Assumptions'!$B$13),'Cost_Assumptions'!$B$13)</x:f>
        <x:v>0.315</x:v>
      </x:c>
      <x:c r="AE3" s="26" t="n">
        <x:f>IF(OR(F3=0,J3=0,(1-AD3-M3/J3)&lt;=0),0,(Q3-M3/F3)/(1-AD3-M3/J3))</x:f>
        <x:v>21.88725318512167</x:v>
      </x:c>
      <x:c r="AF3" s="26" t="n">
        <x:f>MAX(0,AE3-K3)</x:f>
        <x:v>3.7748230569508294</x:v>
      </x:c>
      <x:c r="AG3" s="26" t="n">
        <x:f>AF3*F3</x:f>
        <x:v>11852.944398825604</x:v>
      </x:c>
      <x:c r="AH3" s="30" t="n">
        <x:f>IFERROR(INDEX('Routing'!$I$2:$I$25,MATCH(A3,'Routing'!$A$2:$A$25,0)),0)</x:f>
        <x:v>0.2418379685610641</x:v>
      </x:c>
      <x:c r="AI3" s="7" t="str">
        <x:f>IF(AJ3="REVIEW","DATA REVIEW",IF(E3="Yes","STRATEGIC REVIEW",IF(T3&lt;=0,"IMMEDIATE REVIEW",IF(U3&lt;AD3,"PRICE / COST REVIEW",IF(AH3&gt;'Cost_Assumptions'!$B$12,"BATCH / MOQ REVIEW",IF(W3&lt;'Cost_Assumptions'!$B$11,"CAPACITY DRAG",IF(AND(U3&gt;=AD3+'Cost_Assumptions'!$B$14,W3&gt;='Cost_Assumptions'!$B$11),"PROTECT &amp; GROW","MONITOR")))))))</x:f>
        <x:v>PRICE / COST REVIEW</x:v>
      </x:c>
      <x:c r="AJ3" s="7" t="str">
        <x:f>IF(OR(COUNTIF('BOM_Cost'!$A$2:$A$121,A3)=0,COUNTIF('Routing'!$A$2:$A$25,A3)=0,F3&lt;=0,K3&lt;=0,IFERROR(INDEX('Product_Master'!$N$2:$N$25,MATCH(A3,'Product_Master'!$A$2:$A$25,0)),"REVIEW")="REVIEW"),"REVIEW","OK")</x:f>
        <x:v>OK</x:v>
      </x:c>
      <x:c r="AK3" s="32" t="n">
        <x:f>IF(AI3="DATA REVIEW",8,IF(AI3="STRATEGIC REVIEW",7,IF(AI3="IMMEDIATE REVIEW",6,IF(AI3="PRICE / COST REVIEW",5,IF(AI3="CAPACITY DRAG",4,IF(AI3="BATCH / MOQ REVIEW",3,IF(AI3="PROTECT &amp; GROW",2,1)))))))+MIN(0.8,AG3/10000000)+MIN(0.1,ABS(MIN(T3,0))/10000000)+ROW()/100000000</x:f>
        <x:v>5.0011853244398825</x:v>
      </x:c>
      <x:c r="AL3" s="91" t="n">
        <x:f>RANK(AK3,$AK$2:$AK$25,0)</x:f>
        <x:v>11</x:v>
      </x:c>
      <x:c r="AM3" s="91" t="n">
        <x:f>RANK(T3,$T$2:$T$25,0)</x:f>
        <x:v>18</x:v>
      </x:c>
      <x:c r="AN3" s="92" t="n">
        <x:f>RANK(AG3,$AG$2:$AG$25,0)</x:f>
        <x:v>7</x:v>
      </x:c>
    </x:row>
    <x:row r="4">
      <x:c r="A4" s="6" t="str">
        <x:v>FG-003</x:v>
      </x:c>
      <x:c r="B4" s="7" t="str">
        <x:f>IFERROR(INDEX('Product_Master'!$B$2:$B$25,MATCH(A4,'Product_Master'!$A$2:$A$25,0)),"")</x:f>
        <x:v>Shield Tan Product</x:v>
      </x:c>
      <x:c r="C4" s="7" t="str">
        <x:f>IFERROR(INDEX('Product_Master'!$C$2:$C$25,MATCH(A4,'Product_Master'!$A$2:$A$25,0)),"")</x:f>
        <x:v>Shield</x:v>
      </x:c>
      <x:c r="D4" s="7" t="str">
        <x:f>IFERROR(INDEX('Product_Master'!$D$2:$D$25,MATCH(A4,'Product_Master'!$A$2:$A$25,0)),"")</x:f>
        <x:v>Line 1</x:v>
      </x:c>
      <x:c r="E4" s="7" t="str">
        <x:f>IFERROR(INDEX('Product_Master'!$E$2:$E$25,MATCH(A4,'Product_Master'!$A$2:$A$25,0)),"No")</x:f>
        <x:v>No</x:v>
      </x:c>
      <x:c r="F4" s="24" t="n">
        <x:f>SUMIFS('Sales_Detail'!$E$2:$E$289,'Sales_Detail'!$D$2:$D$289,A4,'Sales_Detail'!$A$2:$A$289,"&gt;="&amp;'Cost_Assumptions'!$B$6,'Sales_Detail'!$A$2:$A$289,"&lt;="&amp;'Cost_Assumptions'!$B$7)</x:f>
        <x:v>1430</x:v>
      </x:c>
      <x:c r="G4" s="26" t="n">
        <x:f>SUMIFS('Sales_Detail'!$F$2:$F$289,'Sales_Detail'!$D$2:$D$289,A4,'Sales_Detail'!$A$2:$A$289,"&gt;="&amp;'Cost_Assumptions'!$B$6,'Sales_Detail'!$A$2:$A$289,"&lt;="&amp;'Cost_Assumptions'!$B$7)</x:f>
        <x:v>51992.5754203507</x:v>
      </x:c>
      <x:c r="H4" s="26" t="n">
        <x:f>SUMIFS('Sales_Detail'!$G$2:$G$289,'Sales_Detail'!$D$2:$D$289,A4,'Sales_Detail'!$A$2:$A$289,"&gt;="&amp;'Cost_Assumptions'!$B$6,'Sales_Detail'!$A$2:$A$289,"&lt;="&amp;'Cost_Assumptions'!$B$7)</x:f>
        <x:v>1923.725290552976</x:v>
      </x:c>
      <x:c r="I4" s="26" t="n">
        <x:f>SUMIFS('Sales_Detail'!$H$2:$H$289,'Sales_Detail'!$D$2:$D$289,A4,'Sales_Detail'!$A$2:$A$289,"&gt;="&amp;'Cost_Assumptions'!$B$6,'Sales_Detail'!$A$2:$A$289,"&lt;="&amp;'Cost_Assumptions'!$B$7)</x:f>
        <x:v>139.95974913833712</x:v>
      </x:c>
      <x:c r="J4" s="26" t="n">
        <x:f>SUMIFS('Sales_Detail'!$I$2:$I$289,'Sales_Detail'!$D$2:$D$289,A4,'Sales_Detail'!$A$2:$A$289,"&gt;="&amp;'Cost_Assumptions'!$B$6,'Sales_Detail'!$A$2:$A$289,"&lt;="&amp;'Cost_Assumptions'!$B$7)</x:f>
        <x:v>49928.890380659395</x:v>
      </x:c>
      <x:c r="K4" s="26" t="n">
        <x:f>IF(F4=0,0,J4/F4)</x:f>
        <x:v>34.91530795850307</x:v>
      </x:c>
      <x:c r="L4" s="26" t="n">
        <x:f>SUMIFS('Sales_Detail'!$J$2:$J$289,'Sales_Detail'!$D$2:$D$289,A4,'Sales_Detail'!$A$2:$A$289,"&gt;="&amp;'Cost_Assumptions'!$B$6,'Sales_Detail'!$A$2:$A$289,"&lt;="&amp;'Cost_Assumptions'!$B$7)</x:f>
        <x:v>8225.14</x:v>
      </x:c>
      <x:c r="M4" s="26" t="n">
        <x:f>SUMIFS('Sales_Detail'!$K$2:$K$289,'Sales_Detail'!$D$2:$D$289,A4,'Sales_Detail'!$A$2:$A$289,"&gt;="&amp;'Cost_Assumptions'!$B$6,'Sales_Detail'!$A$2:$A$289,"&lt;="&amp;'Cost_Assumptions'!$B$7)</x:f>
        <x:v>1298.151149897144</x:v>
      </x:c>
      <x:c r="N4" s="26" t="n">
        <x:f>SUMIFS('BOM_Cost'!$H$2:$H$121,'BOM_Cost'!$A$2:$A$121,A4)</x:f>
        <x:v>10.59672844</x:v>
      </x:c>
      <x:c r="O4" s="26" t="n">
        <x:f>IFERROR(INDEX('Routing'!$M$2:$M$25,MATCH(A4,'Routing'!$A$2:$A$25,0)),0)</x:f>
        <x:v>0.5611111111111111</x:v>
      </x:c>
      <x:c r="P4" s="26" t="n">
        <x:f>IFERROR(INDEX('Routing'!$N$2:$N$25,MATCH(A4,'Routing'!$A$2:$A$25,0)),0)</x:f>
        <x:v>4.988888888888889</x:v>
      </x:c>
      <x:c r="Q4" s="26" t="n">
        <x:f>N4+O4+P4+IF(F4=0,0,(L4+M4)/F4)</x:f>
        <x:v>22.806372600767233</x:v>
      </x:c>
      <x:c r="R4" s="26" t="n">
        <x:f>F4*N4</x:f>
        <x:v>15153.321669199999</x:v>
      </x:c>
      <x:c r="S4" s="26" t="n">
        <x:f>F4*(O4+P4)</x:f>
        <x:v>7936.5</x:v>
      </x:c>
      <x:c r="T4" s="26" t="n">
        <x:f>J4-L4-M4-R4-S4</x:f>
        <x:v>17315.777561562252</x:v>
      </x:c>
      <x:c r="U4" s="30" t="n">
        <x:f>IF(J4=0,0,T4/J4)</x:f>
        <x:v>0.3468087800378945</x:v>
      </x:c>
      <x:c r="V4" s="89" t="n">
        <x:f>F4*IFERROR(INDEX('Routing'!$P$2:$P$25,MATCH(A4,'Routing'!$A$2:$A$25,0)),0)</x:f>
        <x:v>182.7222222222222</x:v>
      </x:c>
      <x:c r="W4" s="26" t="n">
        <x:f>IF(V4=0,0,T4/V4)</x:f>
        <x:v>94.76558106054138</x:v>
      </x:c>
      <x:c r="X4" s="26" t="n">
        <x:f>F4*IFERROR(INDEX('Routing'!$R$2:$R$25,MATCH(A4,'Routing'!$A$2:$A$25,0)),0)</x:f>
        <x:v>8770.666666666666</x:v>
      </x:c>
      <x:c r="Y4" s="26" t="n">
        <x:f>R4+F4*IFERROR(INDEX('Routing'!$S$2:$S$25,MATCH(A4,'Routing'!$A$2:$A$25,0)),0)+X4</x:f>
        <x:v>31860.488335866663</x:v>
      </x:c>
      <x:c r="Z4" s="26" t="n">
        <x:f>J4-Y4</x:f>
        <x:v>18068.402044792732</x:v>
      </x:c>
      <x:c r="AA4" s="30" t="n">
        <x:f>IF(J4=0,0,Z4/J4)</x:f>
        <x:v>0.3618827077277039</x:v>
      </x:c>
      <x:c r="AB4" s="26" t="n">
        <x:f>T4-X4</x:f>
        <x:v>8545.110894895586</x:v>
      </x:c>
      <x:c r="AC4" s="30" t="n">
        <x:f>IF(J4=0,0,AB4/J4)</x:f>
        <x:v>0.17114561989556343</x:v>
      </x:c>
      <x:c r="AD4" s="30" t="n">
        <x:f>IFERROR(IF(AND(INDEX('Product_Master'!$G$2:$G$25,MATCH(A4,'Product_Master'!$A$2:$A$25,0))&gt;0,INDEX('Product_Master'!$G$2:$G$25,MATCH(A4,'Product_Master'!$A$2:$A$25,0))&lt;1),INDEX('Product_Master'!$G$2:$G$25,MATCH(A4,'Product_Master'!$A$2:$A$25,0)),'Cost_Assumptions'!$B$13),'Cost_Assumptions'!$B$13)</x:f>
        <x:v>0.32999999999999996</x:v>
      </x:c>
      <x:c r="AE4" s="26" t="n">
        <x:f>IF(OR(F4=0,J4=0,(1-AD4-M4/J4)&lt;=0),0,(Q4-M4/F4)/(1-AD4-M4/J4))</x:f>
        <x:v>34.00399781653129</x:v>
      </x:c>
      <x:c r="AF4" s="26" t="n">
        <x:f>MAX(0,AE4-K4)</x:f>
        <x:v>0</x:v>
      </x:c>
      <x:c r="AG4" s="26" t="n">
        <x:f>AF4*F4</x:f>
        <x:v>0</x:v>
      </x:c>
      <x:c r="AH4" s="30" t="n">
        <x:f>IFERROR(INDEX('Routing'!$I$2:$I$25,MATCH(A4,'Routing'!$A$2:$A$25,0)),0)</x:f>
        <x:v>0.08695652173913043</x:v>
      </x:c>
      <x:c r="AI4" s="7" t="str">
        <x:f>IF(AJ4="REVIEW","DATA REVIEW",IF(E4="Yes","STRATEGIC REVIEW",IF(T4&lt;=0,"IMMEDIATE REVIEW",IF(U4&lt;AD4,"PRICE / COST REVIEW",IF(AH4&gt;'Cost_Assumptions'!$B$12,"BATCH / MOQ REVIEW",IF(W4&lt;'Cost_Assumptions'!$B$11,"CAPACITY DRAG",IF(AND(U4&gt;=AD4+'Cost_Assumptions'!$B$14,W4&gt;='Cost_Assumptions'!$B$11),"PROTECT &amp; GROW","MONITOR")))))))</x:f>
        <x:v>CAPACITY DRAG</x:v>
      </x:c>
      <x:c r="AJ4" s="7" t="str">
        <x:f>IF(OR(COUNTIF('BOM_Cost'!$A$2:$A$121,A4)=0,COUNTIF('Routing'!$A$2:$A$25,A4)=0,F4&lt;=0,K4&lt;=0,IFERROR(INDEX('Product_Master'!$N$2:$N$25,MATCH(A4,'Product_Master'!$A$2:$A$25,0)),"REVIEW")="REVIEW"),"REVIEW","OK")</x:f>
        <x:v>OK</x:v>
      </x:c>
      <x:c r="AK4" s="32" t="n">
        <x:f>IF(AI4="DATA REVIEW",8,IF(AI4="STRATEGIC REVIEW",7,IF(AI4="IMMEDIATE REVIEW",6,IF(AI4="PRICE / COST REVIEW",5,IF(AI4="CAPACITY DRAG",4,IF(AI4="BATCH / MOQ REVIEW",3,IF(AI4="PROTECT &amp; GROW",2,1)))))))+MIN(0.8,AG4/10000000)+MIN(0.1,ABS(MIN(T4,0))/10000000)+ROW()/100000000</x:f>
        <x:v>4.00000004</x:v>
      </x:c>
      <x:c r="AL4" s="91" t="n">
        <x:f>RANK(AK4,$AK$2:$AK$25,0)</x:f>
        <x:v>14</x:v>
      </x:c>
      <x:c r="AM4" s="91" t="n">
        <x:f>RANK(T4,$T$2:$T$25,0)</x:f>
        <x:v>9</x:v>
      </x:c>
      <x:c r="AN4" s="92" t="n">
        <x:f>RANK(AG4,$AG$2:$AG$25,0)</x:f>
        <x:v>12</x:v>
      </x:c>
    </x:row>
    <x:row r="5">
      <x:c r="A5" s="6" t="str">
        <x:v>FG-004</x:v>
      </x:c>
      <x:c r="B5" s="7" t="str">
        <x:f>IFERROR(INDEX('Product_Master'!$B$2:$B$25,MATCH(A5,'Product_Master'!$A$2:$A$25,0)),"")</x:f>
        <x:v>Shield Blue Product</x:v>
      </x:c>
      <x:c r="C5" s="7" t="str">
        <x:f>IFERROR(INDEX('Product_Master'!$C$2:$C$25,MATCH(A5,'Product_Master'!$A$2:$A$25,0)),"")</x:f>
        <x:v>Shield</x:v>
      </x:c>
      <x:c r="D5" s="7" t="str">
        <x:f>IFERROR(INDEX('Product_Master'!$D$2:$D$25,MATCH(A5,'Product_Master'!$A$2:$A$25,0)),"")</x:f>
        <x:v>Line 1</x:v>
      </x:c>
      <x:c r="E5" s="7" t="str">
        <x:f>IFERROR(INDEX('Product_Master'!$E$2:$E$25,MATCH(A5,'Product_Master'!$A$2:$A$25,0)),"No")</x:f>
        <x:v>No</x:v>
      </x:c>
      <x:c r="F5" s="24" t="n">
        <x:f>SUMIFS('Sales_Detail'!$E$2:$E$289,'Sales_Detail'!$D$2:$D$289,A5,'Sales_Detail'!$A$2:$A$289,"&gt;="&amp;'Cost_Assumptions'!$B$6,'Sales_Detail'!$A$2:$A$289,"&lt;="&amp;'Cost_Assumptions'!$B$7)</x:f>
        <x:v>5760</x:v>
      </x:c>
      <x:c r="G5" s="26" t="n">
        <x:f>SUMIFS('Sales_Detail'!$F$2:$F$289,'Sales_Detail'!$D$2:$D$289,A5,'Sales_Detail'!$A$2:$A$289,"&gt;="&amp;'Cost_Assumptions'!$B$6,'Sales_Detail'!$A$2:$A$289,"&lt;="&amp;'Cost_Assumptions'!$B$7)</x:f>
        <x:v>177478.55350923887</x:v>
      </x:c>
      <x:c r="H5" s="26" t="n">
        <x:f>SUMIFS('Sales_Detail'!$G$2:$G$289,'Sales_Detail'!$D$2:$D$289,A5,'Sales_Detail'!$A$2:$A$289,"&gt;="&amp;'Cost_Assumptions'!$B$6,'Sales_Detail'!$A$2:$A$289,"&lt;="&amp;'Cost_Assumptions'!$B$7)</x:f>
        <x:v>7631.577800897274</x:v>
      </x:c>
      <x:c r="I5" s="26" t="n">
        <x:f>SUMIFS('Sales_Detail'!$H$2:$H$289,'Sales_Detail'!$D$2:$D$289,A5,'Sales_Detail'!$A$2:$A$289,"&gt;="&amp;'Cost_Assumptions'!$B$6,'Sales_Detail'!$A$2:$A$289,"&lt;="&amp;'Cost_Assumptions'!$B$7)</x:f>
        <x:v>500.8769437422136</x:v>
      </x:c>
      <x:c r="J5" s="26" t="n">
        <x:f>SUMIFS('Sales_Detail'!$I$2:$I$289,'Sales_Detail'!$D$2:$D$289,A5,'Sales_Detail'!$A$2:$A$289,"&gt;="&amp;'Cost_Assumptions'!$B$6,'Sales_Detail'!$A$2:$A$289,"&lt;="&amp;'Cost_Assumptions'!$B$7)</x:f>
        <x:v>169346.09876459942</x:v>
      </x:c>
      <x:c r="K5" s="26" t="n">
        <x:f>IF(F5=0,0,J5/F5)</x:f>
        <x:v>29.400364368854067</x:v>
      </x:c>
      <x:c r="L5" s="26" t="n">
        <x:f>SUMIFS('Sales_Detail'!$J$2:$J$289,'Sales_Detail'!$D$2:$D$289,A5,'Sales_Detail'!$A$2:$A$289,"&gt;="&amp;'Cost_Assumptions'!$B$6,'Sales_Detail'!$A$2:$A$289,"&lt;="&amp;'Cost_Assumptions'!$B$7)</x:f>
        <x:v>30873.6</x:v>
      </x:c>
      <x:c r="M5" s="26" t="n">
        <x:f>SUMIFS('Sales_Detail'!$K$2:$K$289,'Sales_Detail'!$D$2:$D$289,A5,'Sales_Detail'!$A$2:$A$289,"&gt;="&amp;'Cost_Assumptions'!$B$6,'Sales_Detail'!$A$2:$A$289,"&lt;="&amp;'Cost_Assumptions'!$B$7)</x:f>
        <x:v>3048.2297777627896</x:v>
      </x:c>
      <x:c r="N5" s="26" t="n">
        <x:f>SUMIFS('BOM_Cost'!$H$2:$H$121,'BOM_Cost'!$A$2:$A$121,A5)</x:f>
        <x:v>10.110486674999999</x:v>
      </x:c>
      <x:c r="O5" s="26" t="n">
        <x:f>IFERROR(INDEX('Routing'!$M$2:$M$25,MATCH(A5,'Routing'!$A$2:$A$25,0)),0)</x:f>
        <x:v>0.12023809523809524</x:v>
      </x:c>
      <x:c r="P5" s="26" t="n">
        <x:f>IFERROR(INDEX('Routing'!$N$2:$N$25,MATCH(A5,'Routing'!$A$2:$A$25,0)),0)</x:f>
        <x:v>0.42160714285714285</x:v>
      </x:c>
      <x:c r="Q5" s="26" t="n">
        <x:f>N5+O5+P5+IF(F5=0,0,(L5+M5)/F5)</x:f>
        <x:v>16.54153847173461</x:v>
      </x:c>
      <x:c r="R5" s="26" t="n">
        <x:f>F5*N5</x:f>
        <x:v>58236.403247999995</x:v>
      </x:c>
      <x:c r="S5" s="26" t="n">
        <x:f>F5*(O5+P5)</x:f>
        <x:v>3121.0285714285715</x:v>
      </x:c>
      <x:c r="T5" s="26" t="n">
        <x:f>J5-L5-M5-R5-S5</x:f>
        <x:v>74066.83716740807</x:v>
      </x:c>
      <x:c r="U5" s="30" t="n">
        <x:f>IF(J5=0,0,T5/J5)</x:f>
        <x:v>0.4373696099746894</x:v>
      </x:c>
      <x:c r="V5" s="89" t="n">
        <x:f>F5*IFERROR(INDEX('Routing'!$P$2:$P$25,MATCH(A5,'Routing'!$A$2:$A$25,0)),0)</x:f>
        <x:v>70.62857142857143</x:v>
      </x:c>
      <x:c r="W5" s="26" t="n">
        <x:f>IF(V5=0,0,T5/V5)</x:f>
        <x:v>1048.680946949548</x:v>
      </x:c>
      <x:c r="X5" s="26" t="n">
        <x:f>F5*IFERROR(INDEX('Routing'!$R$2:$R$25,MATCH(A5,'Routing'!$A$2:$A$25,0)),0)</x:f>
        <x:v>3390.1714285714284</x:v>
      </x:c>
      <x:c r="Y5" s="26" t="n">
        <x:f>R5+F5*IFERROR(INDEX('Routing'!$S$2:$S$25,MATCH(A5,'Routing'!$A$2:$A$25,0)),0)+X5</x:f>
        <x:v>64747.60324799999</x:v>
      </x:c>
      <x:c r="Z5" s="26" t="n">
        <x:f>J5-Y5</x:f>
        <x:v>104598.49551659942</x:v>
      </x:c>
      <x:c r="AA5" s="30" t="n">
        <x:f>IF(J5=0,0,Z5/J5)</x:f>
        <x:v>0.6176610874396179</x:v>
      </x:c>
      <x:c r="AB5" s="26" t="n">
        <x:f>T5-X5</x:f>
        <x:v>70676.66573883664</x:v>
      </x:c>
      <x:c r="AC5" s="30" t="n">
        <x:f>IF(J5=0,0,AB5/J5)</x:f>
        <x:v>0.41735042173650055</x:v>
      </x:c>
      <x:c r="AD5" s="30" t="n">
        <x:f>IFERROR(IF(AND(INDEX('Product_Master'!$G$2:$G$25,MATCH(A5,'Product_Master'!$A$2:$A$25,0))&gt;0,INDEX('Product_Master'!$G$2:$G$25,MATCH(A5,'Product_Master'!$A$2:$A$25,0))&lt;1),INDEX('Product_Master'!$G$2:$G$25,MATCH(A5,'Product_Master'!$A$2:$A$25,0)),'Cost_Assumptions'!$B$13),'Cost_Assumptions'!$B$13)</x:f>
        <x:v>0.345</x:v>
      </x:c>
      <x:c r="AE5" s="26" t="n">
        <x:f>IF(OR(F5=0,J5=0,(1-AD5-M5/J5)&lt;=0),0,(Q5-M5/F5)/(1-AD5-M5/J5))</x:f>
        <x:v>25.137098764670704</x:v>
      </x:c>
      <x:c r="AF5" s="26" t="n">
        <x:f>MAX(0,AE5-K5)</x:f>
        <x:v>0</x:v>
      </x:c>
      <x:c r="AG5" s="26" t="n">
        <x:f>AF5*F5</x:f>
        <x:v>0</x:v>
      </x:c>
      <x:c r="AH5" s="30" t="n">
        <x:f>IFERROR(INDEX('Routing'!$I$2:$I$25,MATCH(A5,'Routing'!$A$2:$A$25,0)),0)</x:f>
        <x:v>0.1941747572815534</x:v>
      </x:c>
      <x:c r="AI5" s="7" t="str">
        <x:f>IF(AJ5="REVIEW","DATA REVIEW",IF(E5="Yes","STRATEGIC REVIEW",IF(T5&lt;=0,"IMMEDIATE REVIEW",IF(U5&lt;AD5,"PRICE / COST REVIEW",IF(AH5&gt;'Cost_Assumptions'!$B$12,"BATCH / MOQ REVIEW",IF(W5&lt;'Cost_Assumptions'!$B$11,"CAPACITY DRAG",IF(AND(U5&gt;=AD5+'Cost_Assumptions'!$B$14,W5&gt;='Cost_Assumptions'!$B$11),"PROTECT &amp; GROW","MONITOR")))))))</x:f>
        <x:v>PROTECT &amp; GROW</x:v>
      </x:c>
      <x:c r="AJ5" s="7" t="str">
        <x:f>IF(OR(COUNTIF('BOM_Cost'!$A$2:$A$121,A5)=0,COUNTIF('Routing'!$A$2:$A$25,A5)=0,F5&lt;=0,K5&lt;=0,IFERROR(INDEX('Product_Master'!$N$2:$N$25,MATCH(A5,'Product_Master'!$A$2:$A$25,0)),"REVIEW")="REVIEW"),"REVIEW","OK")</x:f>
        <x:v>OK</x:v>
      </x:c>
      <x:c r="AK5" s="32" t="n">
        <x:f>IF(AI5="DATA REVIEW",8,IF(AI5="STRATEGIC REVIEW",7,IF(AI5="IMMEDIATE REVIEW",6,IF(AI5="PRICE / COST REVIEW",5,IF(AI5="CAPACITY DRAG",4,IF(AI5="BATCH / MOQ REVIEW",3,IF(AI5="PROTECT &amp; GROW",2,1)))))))+MIN(0.8,AG5/10000000)+MIN(0.1,ABS(MIN(T5,0))/10000000)+ROW()/100000000</x:f>
        <x:v>2.00000005</x:v>
      </x:c>
      <x:c r="AL5" s="91" t="n">
        <x:f>RANK(AK5,$AK$2:$AK$25,0)</x:f>
        <x:v>21</x:v>
      </x:c>
      <x:c r="AM5" s="91" t="n">
        <x:f>RANK(T5,$T$2:$T$25,0)</x:f>
        <x:v>1</x:v>
      </x:c>
      <x:c r="AN5" s="92" t="n">
        <x:f>RANK(AG5,$AG$2:$AG$25,0)</x:f>
        <x:v>12</x:v>
      </x:c>
    </x:row>
    <x:row r="6">
      <x:c r="A6" s="6" t="str">
        <x:v>FG-005</x:v>
      </x:c>
      <x:c r="B6" s="7" t="str">
        <x:f>IFERROR(INDEX('Product_Master'!$B$2:$B$25,MATCH(A6,'Product_Master'!$A$2:$A$25,0)),"")</x:f>
        <x:v>Shield Gray Product</x:v>
      </x:c>
      <x:c r="C6" s="7" t="str">
        <x:f>IFERROR(INDEX('Product_Master'!$C$2:$C$25,MATCH(A6,'Product_Master'!$A$2:$A$25,0)),"")</x:f>
        <x:v>Shield</x:v>
      </x:c>
      <x:c r="D6" s="7" t="str">
        <x:f>IFERROR(INDEX('Product_Master'!$D$2:$D$25,MATCH(A6,'Product_Master'!$A$2:$A$25,0)),"")</x:f>
        <x:v>Line 1</x:v>
      </x:c>
      <x:c r="E6" s="7" t="str">
        <x:f>IFERROR(INDEX('Product_Master'!$E$2:$E$25,MATCH(A6,'Product_Master'!$A$2:$A$25,0)),"No")</x:f>
        <x:v>No</x:v>
      </x:c>
      <x:c r="F6" s="24" t="n">
        <x:f>SUMIFS('Sales_Detail'!$E$2:$E$289,'Sales_Detail'!$D$2:$D$289,A6,'Sales_Detail'!$A$2:$A$289,"&gt;="&amp;'Cost_Assumptions'!$B$6,'Sales_Detail'!$A$2:$A$289,"&lt;="&amp;'Cost_Assumptions'!$B$7)</x:f>
        <x:v>4050</x:v>
      </x:c>
      <x:c r="G6" s="26" t="n">
        <x:f>SUMIFS('Sales_Detail'!$F$2:$F$289,'Sales_Detail'!$D$2:$D$289,A6,'Sales_Detail'!$A$2:$A$289,"&gt;="&amp;'Cost_Assumptions'!$B$6,'Sales_Detail'!$A$2:$A$289,"&lt;="&amp;'Cost_Assumptions'!$B$7)</x:f>
        <x:v>110238.79701591755</x:v>
      </x:c>
      <x:c r="H6" s="26" t="n">
        <x:f>SUMIFS('Sales_Detail'!$G$2:$G$289,'Sales_Detail'!$D$2:$D$289,A6,'Sales_Detail'!$A$2:$A$289,"&gt;="&amp;'Cost_Assumptions'!$B$6,'Sales_Detail'!$A$2:$A$289,"&lt;="&amp;'Cost_Assumptions'!$B$7)</x:f>
        <x:v>2755.969925397939</x:v>
      </x:c>
      <x:c r="I6" s="26" t="n">
        <x:f>SUMIFS('Sales_Detail'!$H$2:$H$289,'Sales_Detail'!$D$2:$D$289,A6,'Sales_Detail'!$A$2:$A$289,"&gt;="&amp;'Cost_Assumptions'!$B$6,'Sales_Detail'!$A$2:$A$289,"&lt;="&amp;'Cost_Assumptions'!$B$7)</x:f>
        <x:v>299.6209873577303</x:v>
      </x:c>
      <x:c r="J6" s="26" t="n">
        <x:f>SUMIFS('Sales_Detail'!$I$2:$I$289,'Sales_Detail'!$D$2:$D$289,A6,'Sales_Detail'!$A$2:$A$289,"&gt;="&amp;'Cost_Assumptions'!$B$6,'Sales_Detail'!$A$2:$A$289,"&lt;="&amp;'Cost_Assumptions'!$B$7)</x:f>
        <x:v>107183.2061031619</x:v>
      </x:c>
      <x:c r="K6" s="26" t="n">
        <x:f>IF(F6=0,0,J6/F6)</x:f>
        <x:v>26.46498916127454</x:v>
      </x:c>
      <x:c r="L6" s="26" t="n">
        <x:f>SUMIFS('Sales_Detail'!$J$2:$J$289,'Sales_Detail'!$D$2:$D$289,A6,'Sales_Detail'!$A$2:$A$289,"&gt;="&amp;'Cost_Assumptions'!$B$6,'Sales_Detail'!$A$2:$A$289,"&lt;="&amp;'Cost_Assumptions'!$B$7)</x:f>
        <x:v>24255.449999999997</x:v>
      </x:c>
      <x:c r="M6" s="26" t="n">
        <x:f>SUMIFS('Sales_Detail'!$K$2:$K$289,'Sales_Detail'!$D$2:$D$289,A6,'Sales_Detail'!$A$2:$A$289,"&gt;="&amp;'Cost_Assumptions'!$B$6,'Sales_Detail'!$A$2:$A$289,"&lt;="&amp;'Cost_Assumptions'!$B$7)</x:f>
        <x:v>2358.0305342695615</x:v>
      </x:c>
      <x:c r="N6" s="26" t="n">
        <x:f>SUMIFS('BOM_Cost'!$H$2:$H$121,'BOM_Cost'!$A$2:$A$121,A6)</x:f>
        <x:v>10.068538028</x:v>
      </x:c>
      <x:c r="O6" s="26" t="n">
        <x:f>IFERROR(INDEX('Routing'!$M$2:$M$25,MATCH(A6,'Routing'!$A$2:$A$25,0)),0)</x:f>
        <x:v>0.42083333333333334</x:v>
      </x:c>
      <x:c r="P6" s="26" t="n">
        <x:f>IFERROR(INDEX('Routing'!$N$2:$N$25,MATCH(A6,'Routing'!$A$2:$A$25,0)),0)</x:f>
        <x:v>1.2645208333333333</x:v>
      </x:c>
      <x:c r="Q6" s="26" t="n">
        <x:f>N6+O6+P6+IF(F6=0,0,(L6+M6)/F6)</x:f>
        <x:v>18.325121956214705</x:v>
      </x:c>
      <x:c r="R6" s="26" t="n">
        <x:f>F6*N6</x:f>
        <x:v>40777.579013400005</x:v>
      </x:c>
      <x:c r="S6" s="26" t="n">
        <x:f>F6*(O6+P6)</x:f>
        <x:v>6825.684375</x:v>
      </x:c>
      <x:c r="T6" s="26" t="n">
        <x:f>J6-L6-M6-R6-S6</x:f>
        <x:v>32966.46218049233</x:v>
      </x:c>
      <x:c r="U6" s="30" t="n">
        <x:f>IF(J6=0,0,T6/J6)</x:f>
        <x:v>0.3075711520400193</x:v>
      </x:c>
      <x:c r="V6" s="89" t="n">
        <x:f>F6*IFERROR(INDEX('Routing'!$P$2:$P$25,MATCH(A6,'Routing'!$A$2:$A$25,0)),0)</x:f>
        <x:v>185.11874999999998</x:v>
      </x:c>
      <x:c r="W6" s="26" t="n">
        <x:f>IF(V6=0,0,T6/V6)</x:f>
        <x:v>178.08278297305017</x:v>
      </x:c>
      <x:c r="X6" s="26" t="n">
        <x:f>F6*IFERROR(INDEX('Routing'!$R$2:$R$25,MATCH(A6,'Routing'!$A$2:$A$25,0)),0)</x:f>
        <x:v>8885.699999999999</x:v>
      </x:c>
      <x:c r="Y6" s="26" t="n">
        <x:f>R6+F6*IFERROR(INDEX('Routing'!$S$2:$S$25,MATCH(A6,'Routing'!$A$2:$A$25,0)),0)+X6</x:f>
        <x:v>56488.9633884</x:v>
      </x:c>
      <x:c r="Z6" s="26" t="n">
        <x:f>J6-Y6</x:f>
        <x:v>50694.242714761895</x:v>
      </x:c>
      <x:c r="AA6" s="30" t="n">
        <x:f>IF(J6=0,0,Z6/J6)</x:f>
        <x:v>0.47296815012204063</x:v>
      </x:c>
      <x:c r="AB6" s="26" t="n">
        <x:f>T6-X6</x:f>
        <x:v>24080.762180492333</x:v>
      </x:c>
      <x:c r="AC6" s="30" t="n">
        <x:f>IF(J6=0,0,AB6/J6)</x:f>
        <x:v>0.22466917212119067</x:v>
      </x:c>
      <x:c r="AD6" s="30" t="n">
        <x:f>IFERROR(IF(AND(INDEX('Product_Master'!$G$2:$G$25,MATCH(A6,'Product_Master'!$A$2:$A$25,0))&gt;0,INDEX('Product_Master'!$G$2:$G$25,MATCH(A6,'Product_Master'!$A$2:$A$25,0))&lt;1),INDEX('Product_Master'!$G$2:$G$25,MATCH(A6,'Product_Master'!$A$2:$A$25,0)),'Cost_Assumptions'!$B$13),'Cost_Assumptions'!$B$13)</x:f>
        <x:v>0.3</x:v>
      </x:c>
      <x:c r="AE6" s="26" t="n">
        <x:f>IF(OR(F6=0,J6=0,(1-AD6-M6/J6)&lt;=0),0,(Q6-M6/F6)/(1-AD6-M6/J6))</x:f>
        <x:v>26.169457514257623</x:v>
      </x:c>
      <x:c r="AF6" s="26" t="n">
        <x:f>MAX(0,AE6-K6)</x:f>
        <x:v>0</x:v>
      </x:c>
      <x:c r="AG6" s="26" t="n">
        <x:f>AF6*F6</x:f>
        <x:v>0</x:v>
      </x:c>
      <x:c r="AH6" s="30" t="n">
        <x:f>IFERROR(INDEX('Routing'!$I$2:$I$25,MATCH(A6,'Routing'!$A$2:$A$25,0)),0)</x:f>
        <x:v>0.1823154056517776</x:v>
      </x:c>
      <x:c r="AI6" s="7" t="str">
        <x:f>IF(AJ6="REVIEW","DATA REVIEW",IF(E6="Yes","STRATEGIC REVIEW",IF(T6&lt;=0,"IMMEDIATE REVIEW",IF(U6&lt;AD6,"PRICE / COST REVIEW",IF(AH6&gt;'Cost_Assumptions'!$B$12,"BATCH / MOQ REVIEW",IF(W6&lt;'Cost_Assumptions'!$B$11,"CAPACITY DRAG",IF(AND(U6&gt;=AD6+'Cost_Assumptions'!$B$14,W6&gt;='Cost_Assumptions'!$B$11),"PROTECT &amp; GROW","MONITOR")))))))</x:f>
        <x:v>MONITOR</x:v>
      </x:c>
      <x:c r="AJ6" s="7" t="str">
        <x:f>IF(OR(COUNTIF('BOM_Cost'!$A$2:$A$121,A6)=0,COUNTIF('Routing'!$A$2:$A$25,A6)=0,F6&lt;=0,K6&lt;=0,IFERROR(INDEX('Product_Master'!$N$2:$N$25,MATCH(A6,'Product_Master'!$A$2:$A$25,0)),"REVIEW")="REVIEW"),"REVIEW","OK")</x:f>
        <x:v>OK</x:v>
      </x:c>
      <x:c r="AK6" s="32" t="n">
        <x:f>IF(AI6="DATA REVIEW",8,IF(AI6="STRATEGIC REVIEW",7,IF(AI6="IMMEDIATE REVIEW",6,IF(AI6="PRICE / COST REVIEW",5,IF(AI6="CAPACITY DRAG",4,IF(AI6="BATCH / MOQ REVIEW",3,IF(AI6="PROTECT &amp; GROW",2,1)))))))+MIN(0.8,AG6/10000000)+MIN(0.1,ABS(MIN(T6,0))/10000000)+ROW()/100000000</x:f>
        <x:v>1.00000006</x:v>
      </x:c>
      <x:c r="AL6" s="91" t="n">
        <x:f>RANK(AK6,$AK$2:$AK$25,0)</x:f>
        <x:v>24</x:v>
      </x:c>
      <x:c r="AM6" s="91" t="n">
        <x:f>RANK(T6,$T$2:$T$25,0)</x:f>
        <x:v>5</x:v>
      </x:c>
      <x:c r="AN6" s="92" t="n">
        <x:f>RANK(AG6,$AG$2:$AG$25,0)</x:f>
        <x:v>12</x:v>
      </x:c>
    </x:row>
    <x:row r="7">
      <x:c r="A7" s="6" t="str">
        <x:v>FG-006</x:v>
      </x:c>
      <x:c r="B7" s="7" t="str">
        <x:f>IFERROR(INDEX('Product_Master'!$B$2:$B$25,MATCH(A7,'Product_Master'!$A$2:$A$25,0)),"")</x:f>
        <x:v>Shield Red Product</x:v>
      </x:c>
      <x:c r="C7" s="7" t="str">
        <x:f>IFERROR(INDEX('Product_Master'!$C$2:$C$25,MATCH(A7,'Product_Master'!$A$2:$A$25,0)),"")</x:f>
        <x:v>Shield</x:v>
      </x:c>
      <x:c r="D7" s="7" t="str">
        <x:f>IFERROR(INDEX('Product_Master'!$D$2:$D$25,MATCH(A7,'Product_Master'!$A$2:$A$25,0)),"")</x:f>
        <x:v>Line 1</x:v>
      </x:c>
      <x:c r="E7" s="7" t="str">
        <x:f>IFERROR(INDEX('Product_Master'!$E$2:$E$25,MATCH(A7,'Product_Master'!$A$2:$A$25,0)),"No")</x:f>
        <x:v>No</x:v>
      </x:c>
      <x:c r="F7" s="24" t="n">
        <x:f>SUMIFS('Sales_Detail'!$E$2:$E$289,'Sales_Detail'!$D$2:$D$289,A7,'Sales_Detail'!$A$2:$A$289,"&gt;="&amp;'Cost_Assumptions'!$B$6,'Sales_Detail'!$A$2:$A$289,"&lt;="&amp;'Cost_Assumptions'!$B$7)</x:f>
        <x:v>930</x:v>
      </x:c>
      <x:c r="G7" s="26" t="n">
        <x:f>SUMIFS('Sales_Detail'!$F$2:$F$289,'Sales_Detail'!$D$2:$D$289,A7,'Sales_Detail'!$A$2:$A$289,"&gt;="&amp;'Cost_Assumptions'!$B$6,'Sales_Detail'!$A$2:$A$289,"&lt;="&amp;'Cost_Assumptions'!$B$7)</x:f>
        <x:v>28799.9378403753</x:v>
      </x:c>
      <x:c r="H7" s="26" t="n">
        <x:f>SUMIFS('Sales_Detail'!$G$2:$G$289,'Sales_Detail'!$D$2:$D$289,A7,'Sales_Detail'!$A$2:$A$289,"&gt;="&amp;'Cost_Assumptions'!$B$6,'Sales_Detail'!$A$2:$A$289,"&lt;="&amp;'Cost_Assumptions'!$B$7)</x:f>
        <x:v>892.7980730516341</x:v>
      </x:c>
      <x:c r="I7" s="26" t="n">
        <x:f>SUMIFS('Sales_Detail'!$H$2:$H$289,'Sales_Detail'!$D$2:$D$289,A7,'Sales_Detail'!$A$2:$A$289,"&gt;="&amp;'Cost_Assumptions'!$B$6,'Sales_Detail'!$A$2:$A$289,"&lt;="&amp;'Cost_Assumptions'!$B$7)</x:f>
        <x:v>81.70456219599822</x:v>
      </x:c>
      <x:c r="J7" s="26" t="n">
        <x:f>SUMIFS('Sales_Detail'!$I$2:$I$289,'Sales_Detail'!$D$2:$D$289,A7,'Sales_Detail'!$A$2:$A$289,"&gt;="&amp;'Cost_Assumptions'!$B$6,'Sales_Detail'!$A$2:$A$289,"&lt;="&amp;'Cost_Assumptions'!$B$7)</x:f>
        <x:v>27825.435205127666</x:v>
      </x:c>
      <x:c r="K7" s="26" t="n">
        <x:f>IF(F7=0,0,J7/F7)</x:f>
        <x:v>29.919822801212543</x:v>
      </x:c>
      <x:c r="L7" s="26" t="n">
        <x:f>SUMIFS('Sales_Detail'!$J$2:$J$289,'Sales_Detail'!$D$2:$D$289,A7,'Sales_Detail'!$A$2:$A$289,"&gt;="&amp;'Cost_Assumptions'!$B$6,'Sales_Detail'!$A$2:$A$289,"&lt;="&amp;'Cost_Assumptions'!$B$7)</x:f>
        <x:v>2352.375</x:v>
      </x:c>
      <x:c r="M7" s="26" t="n">
        <x:f>SUMIFS('Sales_Detail'!$K$2:$K$289,'Sales_Detail'!$D$2:$D$289,A7,'Sales_Detail'!$A$2:$A$289,"&gt;="&amp;'Cost_Assumptions'!$B$6,'Sales_Detail'!$A$2:$A$289,"&lt;="&amp;'Cost_Assumptions'!$B$7)</x:f>
        <x:v>723.4613153333191</x:v>
      </x:c>
      <x:c r="N7" s="26" t="n">
        <x:f>SUMIFS('BOM_Cost'!$H$2:$H$121,'BOM_Cost'!$A$2:$A$121,A7)</x:f>
        <x:v>9.62640062</x:v>
      </x:c>
      <x:c r="O7" s="26" t="n">
        <x:f>IFERROR(INDEX('Routing'!$M$2:$M$25,MATCH(A7,'Routing'!$A$2:$A$25,0)),0)</x:f>
        <x:v>3.3666666666666667</x:v>
      </x:c>
      <x:c r="P7" s="26" t="n">
        <x:f>IFERROR(INDEX('Routing'!$N$2:$N$25,MATCH(A7,'Routing'!$A$2:$A$25,0)),0)</x:f>
        <x:v>2.6688888888888886</x:v>
      </x:c>
      <x:c r="Q7" s="26" t="n">
        <x:f>N7+O7+P7+IF(F7=0,0,(L7+M7)/F7)</x:f>
        <x:v>18.96930705225805</x:v>
      </x:c>
      <x:c r="R7" s="26" t="n">
        <x:f>F7*N7</x:f>
        <x:v>8952.552576600001</x:v>
      </x:c>
      <x:c r="S7" s="26" t="n">
        <x:f>F7*(O7+P7)</x:f>
        <x:v>5613.066666666667</x:v>
      </x:c>
      <x:c r="T7" s="26" t="n">
        <x:f>J7-L7-M7-R7-S7</x:f>
        <x:v>10183.979646527678</x:v>
      </x:c>
      <x:c r="U7" s="30" t="n">
        <x:f>IF(J7=0,0,T7/J7)</x:f>
        <x:v>0.36599534100551917</x:v>
      </x:c>
      <x:c r="V7" s="89" t="n">
        <x:f>F7*IFERROR(INDEX('Routing'!$P$2:$P$25,MATCH(A7,'Routing'!$A$2:$A$25,0)),0)</x:f>
        <x:v>117.80000000000001</x:v>
      </x:c>
      <x:c r="W7" s="26" t="n">
        <x:f>IF(V7=0,0,T7/V7)</x:f>
        <x:v>86.45144012332493</x:v>
      </x:c>
      <x:c r="X7" s="26" t="n">
        <x:f>F7*IFERROR(INDEX('Routing'!$R$2:$R$25,MATCH(A7,'Routing'!$A$2:$A$25,0)),0)</x:f>
        <x:v>5654.4</x:v>
      </x:c>
      <x:c r="Y7" s="26" t="n">
        <x:f>R7+F7*IFERROR(INDEX('Routing'!$S$2:$S$25,MATCH(A7,'Routing'!$A$2:$A$25,0)),0)+X7</x:f>
        <x:v>20220.019243266666</x:v>
      </x:c>
      <x:c r="Z7" s="26" t="n">
        <x:f>J7-Y7</x:f>
        <x:v>7605.415961860999</x:v>
      </x:c>
      <x:c r="AA7" s="30" t="n">
        <x:f>IF(J7=0,0,Z7/J7)</x:f>
        <x:v>0.27332603805813876</x:v>
      </x:c>
      <x:c r="AB7" s="26" t="n">
        <x:f>T7-X7</x:f>
        <x:v>4529.579646527678</x:v>
      </x:c>
      <x:c r="AC7" s="30" t="n">
        <x:f>IF(J7=0,0,AB7/J7)</x:f>
        <x:v>0.1627855813623705</x:v>
      </x:c>
      <x:c r="AD7" s="30" t="n">
        <x:f>IFERROR(IF(AND(INDEX('Product_Master'!$G$2:$G$25,MATCH(A7,'Product_Master'!$A$2:$A$25,0))&gt;0,INDEX('Product_Master'!$G$2:$G$25,MATCH(A7,'Product_Master'!$A$2:$A$25,0))&lt;1),INDEX('Product_Master'!$G$2:$G$25,MATCH(A7,'Product_Master'!$A$2:$A$25,0)),'Cost_Assumptions'!$B$13),'Cost_Assumptions'!$B$13)</x:f>
        <x:v>0.315</x:v>
      </x:c>
      <x:c r="AE7" s="26" t="n">
        <x:f>IF(OR(F7=0,J7=0,(1-AD7-M7/J7)&lt;=0),0,(Q7-M7/F7)/(1-AD7-M7/J7))</x:f>
        <x:v>27.604539695639637</x:v>
      </x:c>
      <x:c r="AF7" s="26" t="n">
        <x:f>MAX(0,AE7-K7)</x:f>
        <x:v>0</x:v>
      </x:c>
      <x:c r="AG7" s="26" t="n">
        <x:f>AF7*F7</x:f>
        <x:v>0</x:v>
      </x:c>
      <x:c r="AH7" s="30" t="n">
        <x:f>IFERROR(INDEX('Routing'!$I$2:$I$25,MATCH(A7,'Routing'!$A$2:$A$25,0)),0)</x:f>
        <x:v>0.5263157894736842</x:v>
      </x:c>
      <x:c r="AI7" s="7" t="str">
        <x:f>IF(AJ7="REVIEW","DATA REVIEW",IF(E7="Yes","STRATEGIC REVIEW",IF(T7&lt;=0,"IMMEDIATE REVIEW",IF(U7&lt;AD7,"PRICE / COST REVIEW",IF(AH7&gt;'Cost_Assumptions'!$B$12,"BATCH / MOQ REVIEW",IF(W7&lt;'Cost_Assumptions'!$B$11,"CAPACITY DRAG",IF(AND(U7&gt;=AD7+'Cost_Assumptions'!$B$14,W7&gt;='Cost_Assumptions'!$B$11),"PROTECT &amp; GROW","MONITOR")))))))</x:f>
        <x:v>BATCH / MOQ REVIEW</x:v>
      </x:c>
      <x:c r="AJ7" s="7" t="str">
        <x:f>IF(OR(COUNTIF('BOM_Cost'!$A$2:$A$121,A7)=0,COUNTIF('Routing'!$A$2:$A$25,A7)=0,F7&lt;=0,K7&lt;=0,IFERROR(INDEX('Product_Master'!$N$2:$N$25,MATCH(A7,'Product_Master'!$A$2:$A$25,0)),"REVIEW")="REVIEW"),"REVIEW","OK")</x:f>
        <x:v>OK</x:v>
      </x:c>
      <x:c r="AK7" s="32" t="n">
        <x:f>IF(AI7="DATA REVIEW",8,IF(AI7="STRATEGIC REVIEW",7,IF(AI7="IMMEDIATE REVIEW",6,IF(AI7="PRICE / COST REVIEW",5,IF(AI7="CAPACITY DRAG",4,IF(AI7="BATCH / MOQ REVIEW",3,IF(AI7="PROTECT &amp; GROW",2,1)))))))+MIN(0.8,AG7/10000000)+MIN(0.1,ABS(MIN(T7,0))/10000000)+ROW()/100000000</x:f>
        <x:v>3.00000007</x:v>
      </x:c>
      <x:c r="AL7" s="91" t="n">
        <x:f>RANK(AK7,$AK$2:$AK$25,0)</x:f>
        <x:v>17</x:v>
      </x:c>
      <x:c r="AM7" s="91" t="n">
        <x:f>RANK(T7,$T$2:$T$25,0)</x:f>
        <x:v>17</x:v>
      </x:c>
      <x:c r="AN7" s="92" t="n">
        <x:f>RANK(AG7,$AG$2:$AG$25,0)</x:f>
        <x:v>12</x:v>
      </x:c>
    </x:row>
    <x:row r="8">
      <x:c r="A8" s="6" t="str">
        <x:v>FG-007</x:v>
      </x:c>
      <x:c r="B8" s="7" t="str">
        <x:f>IFERROR(INDEX('Product_Master'!$B$2:$B$25,MATCH(A8,'Product_Master'!$A$2:$A$25,0)),"")</x:f>
        <x:v>Guard White Product</x:v>
      </x:c>
      <x:c r="C8" s="7" t="str">
        <x:f>IFERROR(INDEX('Product_Master'!$C$2:$C$25,MATCH(A8,'Product_Master'!$A$2:$A$25,0)),"")</x:f>
        <x:v>Guard</x:v>
      </x:c>
      <x:c r="D8" s="7" t="str">
        <x:f>IFERROR(INDEX('Product_Master'!$D$2:$D$25,MATCH(A8,'Product_Master'!$A$2:$A$25,0)),"")</x:f>
        <x:v>Line 2</x:v>
      </x:c>
      <x:c r="E8" s="7" t="str">
        <x:f>IFERROR(INDEX('Product_Master'!$E$2:$E$25,MATCH(A8,'Product_Master'!$A$2:$A$25,0)),"No")</x:f>
        <x:v>Yes</x:v>
      </x:c>
      <x:c r="F8" s="24" t="n">
        <x:f>SUMIFS('Sales_Detail'!$E$2:$E$289,'Sales_Detail'!$D$2:$D$289,A8,'Sales_Detail'!$A$2:$A$289,"&gt;="&amp;'Cost_Assumptions'!$B$6,'Sales_Detail'!$A$2:$A$289,"&lt;="&amp;'Cost_Assumptions'!$B$7)</x:f>
        <x:v>1550</x:v>
      </x:c>
      <x:c r="G8" s="26" t="n">
        <x:f>SUMIFS('Sales_Detail'!$F$2:$F$289,'Sales_Detail'!$D$2:$D$289,A8,'Sales_Detail'!$A$2:$A$289,"&gt;="&amp;'Cost_Assumptions'!$B$6,'Sales_Detail'!$A$2:$A$289,"&lt;="&amp;'Cost_Assumptions'!$B$7)</x:f>
        <x:v>28674.66213290368</x:v>
      </x:c>
      <x:c r="H8" s="26" t="n">
        <x:f>SUMIFS('Sales_Detail'!$G$2:$G$289,'Sales_Detail'!$D$2:$D$289,A8,'Sales_Detail'!$A$2:$A$289,"&gt;="&amp;'Cost_Assumptions'!$B$6,'Sales_Detail'!$A$2:$A$289,"&lt;="&amp;'Cost_Assumptions'!$B$7)</x:f>
        <x:v>1060.9624989174363</x:v>
      </x:c>
      <x:c r="I8" s="26" t="n">
        <x:f>SUMIFS('Sales_Detail'!$H$2:$H$289,'Sales_Detail'!$D$2:$D$289,A8,'Sales_Detail'!$A$2:$A$289,"&gt;="&amp;'Cost_Assumptions'!$B$6,'Sales_Detail'!$A$2:$A$289,"&lt;="&amp;'Cost_Assumptions'!$B$7)</x:f>
        <x:v>231.02547693164826</x:v>
      </x:c>
      <x:c r="J8" s="26" t="n">
        <x:f>SUMIFS('Sales_Detail'!$I$2:$I$289,'Sales_Detail'!$D$2:$D$289,A8,'Sales_Detail'!$A$2:$A$289,"&gt;="&amp;'Cost_Assumptions'!$B$6,'Sales_Detail'!$A$2:$A$289,"&lt;="&amp;'Cost_Assumptions'!$B$7)</x:f>
        <x:v>27382.674157054593</x:v>
      </x:c>
      <x:c r="K8" s="26" t="n">
        <x:f>IF(F8=0,0,J8/F8)</x:f>
        <x:v>17.666241391648125</x:v>
      </x:c>
      <x:c r="L8" s="26" t="n">
        <x:f>SUMIFS('Sales_Detail'!$J$2:$J$289,'Sales_Detail'!$D$2:$D$289,A8,'Sales_Detail'!$A$2:$A$289,"&gt;="&amp;'Cost_Assumptions'!$B$6,'Sales_Detail'!$A$2:$A$289,"&lt;="&amp;'Cost_Assumptions'!$B$7)</x:f>
        <x:v>5111.9</x:v>
      </x:c>
      <x:c r="M8" s="26" t="n">
        <x:f>SUMIFS('Sales_Detail'!$K$2:$K$289,'Sales_Detail'!$D$2:$D$289,A8,'Sales_Detail'!$A$2:$A$289,"&gt;="&amp;'Cost_Assumptions'!$B$6,'Sales_Detail'!$A$2:$A$289,"&lt;="&amp;'Cost_Assumptions'!$B$7)</x:f>
        <x:v>492.88813482698265</x:v>
      </x:c>
      <x:c r="N8" s="26" t="n">
        <x:f>SUMIFS('BOM_Cost'!$H$2:$H$121,'BOM_Cost'!$A$2:$A$121,A8)</x:f>
        <x:v>9.06621397</x:v>
      </x:c>
      <x:c r="O8" s="26" t="n">
        <x:f>IFERROR(INDEX('Routing'!$M$2:$M$25,MATCH(A8,'Routing'!$A$2:$A$25,0)),0)</x:f>
        <x:v>0.21041666666666667</x:v>
      </x:c>
      <x:c r="P8" s="26" t="n">
        <x:f>IFERROR(INDEX('Routing'!$N$2:$N$25,MATCH(A8,'Routing'!$A$2:$A$25,0)),0)</x:f>
        <x:v>0.835625</x:v>
      </x:c>
      <x:c r="Q8" s="26" t="n">
        <x:f>N8+O8+P8+IF(F8=0,0,(L8+M8)/F8)</x:f>
        <x:v>13.728247981716333</x:v>
      </x:c>
      <x:c r="R8" s="26" t="n">
        <x:f>F8*N8</x:f>
        <x:v>14052.631653499999</x:v>
      </x:c>
      <x:c r="S8" s="26" t="n">
        <x:f>F8*(O8+P8)</x:f>
        <x:v>1621.364583333333</x:v>
      </x:c>
      <x:c r="T8" s="26" t="n">
        <x:f>J8-L8-M8-R8-S8</x:f>
        <x:v>6103.889785394277</x:v>
      </x:c>
      <x:c r="U8" s="30" t="n">
        <x:f>IF(J8=0,0,T8/J8)</x:f>
        <x:v>0.2229106532979626</x:v>
      </x:c>
      <x:c r="V8" s="89" t="n">
        <x:f>F8*IFERROR(INDEX('Routing'!$P$2:$P$25,MATCH(A8,'Routing'!$A$2:$A$25,0)),0)</x:f>
        <x:v>32.9375</x:v>
      </x:c>
      <x:c r="W8" s="26" t="n">
        <x:f>IF(V8=0,0,T8/V8)</x:f>
        <x:v>185.31733693796667</x:v>
      </x:c>
      <x:c r="X8" s="26" t="n">
        <x:f>F8*IFERROR(INDEX('Routing'!$R$2:$R$25,MATCH(A8,'Routing'!$A$2:$A$25,0)),0)</x:f>
        <x:v>1463.888888888889</x:v>
      </x:c>
      <x:c r="Y8" s="26" t="n">
        <x:f>R8+F8*IFERROR(INDEX('Routing'!$S$2:$S$25,MATCH(A8,'Routing'!$A$2:$A$25,0)),0)+X8</x:f>
        <x:v>17137.885125722223</x:v>
      </x:c>
      <x:c r="Z8" s="26" t="n">
        <x:f>J8-Y8</x:f>
        <x:v>10244.78903133237</x:v>
      </x:c>
      <x:c r="AA8" s="30" t="n">
        <x:f>IF(J8=0,0,Z8/J8)</x:f>
        <x:v>0.374133986058955</x:v>
      </x:c>
      <x:c r="AB8" s="26" t="n">
        <x:f>T8-X8</x:f>
        <x:v>4640.0008965053885</x:v>
      </x:c>
      <x:c r="AC8" s="30" t="n">
        <x:f>IF(J8=0,0,AB8/J8)</x:f>
        <x:v>0.16945024689307</x:v>
      </x:c>
      <x:c r="AD8" s="30" t="n">
        <x:f>IFERROR(IF(AND(INDEX('Product_Master'!$G$2:$G$25,MATCH(A8,'Product_Master'!$A$2:$A$25,0))&gt;0,INDEX('Product_Master'!$G$2:$G$25,MATCH(A8,'Product_Master'!$A$2:$A$25,0))&lt;1),INDEX('Product_Master'!$G$2:$G$25,MATCH(A8,'Product_Master'!$A$2:$A$25,0)),'Cost_Assumptions'!$B$13),'Cost_Assumptions'!$B$13)</x:f>
        <x:v>0.32999999999999996</x:v>
      </x:c>
      <x:c r="AE8" s="26" t="n">
        <x:f>IF(OR(F8=0,J8=0,(1-AD8-M8/J8)&lt;=0),0,(Q8-M8/F8)/(1-AD8-M8/J8))</x:f>
        <x:v>20.567876743353782</x:v>
      </x:c>
      <x:c r="AF8" s="26" t="n">
        <x:f>MAX(0,AE8-K8)</x:f>
        <x:v>2.9016353517056572</x:v>
      </x:c>
      <x:c r="AG8" s="26" t="n">
        <x:f>AF8*F8</x:f>
        <x:v>4497.534795143769</x:v>
      </x:c>
      <x:c r="AH8" s="30" t="n">
        <x:f>IFERROR(INDEX('Routing'!$I$2:$I$25,MATCH(A8,'Routing'!$A$2:$A$25,0)),0)</x:f>
        <x:v>0.19607843137254902</x:v>
      </x:c>
      <x:c r="AI8" s="7" t="str">
        <x:f>IF(AJ8="REVIEW","DATA REVIEW",IF(E8="Yes","STRATEGIC REVIEW",IF(T8&lt;=0,"IMMEDIATE REVIEW",IF(U8&lt;AD8,"PRICE / COST REVIEW",IF(AH8&gt;'Cost_Assumptions'!$B$12,"BATCH / MOQ REVIEW",IF(W8&lt;'Cost_Assumptions'!$B$11,"CAPACITY DRAG",IF(AND(U8&gt;=AD8+'Cost_Assumptions'!$B$14,W8&gt;='Cost_Assumptions'!$B$11),"PROTECT &amp; GROW","MONITOR")))))))</x:f>
        <x:v>STRATEGIC REVIEW</x:v>
      </x:c>
      <x:c r="AJ8" s="7" t="str">
        <x:f>IF(OR(COUNTIF('BOM_Cost'!$A$2:$A$121,A8)=0,COUNTIF('Routing'!$A$2:$A$25,A8)=0,F8&lt;=0,K8&lt;=0,IFERROR(INDEX('Product_Master'!$N$2:$N$25,MATCH(A8,'Product_Master'!$A$2:$A$25,0)),"REVIEW")="REVIEW"),"REVIEW","OK")</x:f>
        <x:v>OK</x:v>
      </x:c>
      <x:c r="AK8" s="32" t="n">
        <x:f>IF(AI8="DATA REVIEW",8,IF(AI8="STRATEGIC REVIEW",7,IF(AI8="IMMEDIATE REVIEW",6,IF(AI8="PRICE / COST REVIEW",5,IF(AI8="CAPACITY DRAG",4,IF(AI8="BATCH / MOQ REVIEW",3,IF(AI8="PROTECT &amp; GROW",2,1)))))))+MIN(0.8,AG8/10000000)+MIN(0.1,ABS(MIN(T8,0))/10000000)+ROW()/100000000</x:f>
        <x:v>7.000449833479514</x:v>
      </x:c>
      <x:c r="AL8" s="91" t="n">
        <x:f>RANK(AK8,$AK$2:$AK$25,0)</x:f>
        <x:v>3</x:v>
      </x:c>
      <x:c r="AM8" s="91" t="n">
        <x:f>RANK(T8,$T$2:$T$25,0)</x:f>
        <x:v>21</x:v>
      </x:c>
      <x:c r="AN8" s="92" t="n">
        <x:f>RANK(AG8,$AG$2:$AG$25,0)</x:f>
        <x:v>11</x:v>
      </x:c>
    </x:row>
    <x:row r="9">
      <x:c r="A9" s="6" t="str">
        <x:v>FG-008</x:v>
      </x:c>
      <x:c r="B9" s="7" t="str">
        <x:f>IFERROR(INDEX('Product_Master'!$B$2:$B$25,MATCH(A9,'Product_Master'!$A$2:$A$25,0)),"")</x:f>
        <x:v>Guard Black Product</x:v>
      </x:c>
      <x:c r="C9" s="7" t="str">
        <x:f>IFERROR(INDEX('Product_Master'!$C$2:$C$25,MATCH(A9,'Product_Master'!$A$2:$A$25,0)),"")</x:f>
        <x:v>Guard</x:v>
      </x:c>
      <x:c r="D9" s="7" t="str">
        <x:f>IFERROR(INDEX('Product_Master'!$D$2:$D$25,MATCH(A9,'Product_Master'!$A$2:$A$25,0)),"")</x:f>
        <x:v>Line 2</x:v>
      </x:c>
      <x:c r="E9" s="7" t="str">
        <x:f>IFERROR(INDEX('Product_Master'!$E$2:$E$25,MATCH(A9,'Product_Master'!$A$2:$A$25,0)),"No")</x:f>
        <x:v>No</x:v>
      </x:c>
      <x:c r="F9" s="24" t="n">
        <x:f>SUMIFS('Sales_Detail'!$E$2:$E$289,'Sales_Detail'!$D$2:$D$289,A9,'Sales_Detail'!$A$2:$A$289,"&gt;="&amp;'Cost_Assumptions'!$B$6,'Sales_Detail'!$A$2:$A$289,"&lt;="&amp;'Cost_Assumptions'!$B$7)</x:f>
        <x:v>1790</x:v>
      </x:c>
      <x:c r="G9" s="26" t="n">
        <x:f>SUMIFS('Sales_Detail'!$F$2:$F$289,'Sales_Detail'!$D$2:$D$289,A9,'Sales_Detail'!$A$2:$A$289,"&gt;="&amp;'Cost_Assumptions'!$B$6,'Sales_Detail'!$A$2:$A$289,"&lt;="&amp;'Cost_Assumptions'!$B$7)</x:f>
        <x:v>29057.309751004865</x:v>
      </x:c>
      <x:c r="H9" s="26" t="n">
        <x:f>SUMIFS('Sales_Detail'!$G$2:$G$289,'Sales_Detail'!$D$2:$D$289,A9,'Sales_Detail'!$A$2:$A$289,"&gt;="&amp;'Cost_Assumptions'!$B$6,'Sales_Detail'!$A$2:$A$289,"&lt;="&amp;'Cost_Assumptions'!$B$7)</x:f>
        <x:v>1249.4643192932094</x:v>
      </x:c>
      <x:c r="I9" s="26" t="n">
        <x:f>SUMIFS('Sales_Detail'!$H$2:$H$289,'Sales_Detail'!$D$2:$D$289,A9,'Sales_Detail'!$A$2:$A$289,"&gt;="&amp;'Cost_Assumptions'!$B$6,'Sales_Detail'!$A$2:$A$289,"&lt;="&amp;'Cost_Assumptions'!$B$7)</x:f>
        <x:v>83.12015263640676</x:v>
      </x:c>
      <x:c r="J9" s="26" t="n">
        <x:f>SUMIFS('Sales_Detail'!$I$2:$I$289,'Sales_Detail'!$D$2:$D$289,A9,'Sales_Detail'!$A$2:$A$289,"&gt;="&amp;'Cost_Assumptions'!$B$6,'Sales_Detail'!$A$2:$A$289,"&lt;="&amp;'Cost_Assumptions'!$B$7)</x:f>
        <x:v>27724.725279075254</x:v>
      </x:c>
      <x:c r="K9" s="26" t="n">
        <x:f>IF(F9=0,0,J9/F9)</x:f>
        <x:v>15.488673340265505</x:v>
      </x:c>
      <x:c r="L9" s="26" t="n">
        <x:f>SUMIFS('Sales_Detail'!$J$2:$J$289,'Sales_Detail'!$D$2:$D$289,A9,'Sales_Detail'!$A$2:$A$289,"&gt;="&amp;'Cost_Assumptions'!$B$6,'Sales_Detail'!$A$2:$A$289,"&lt;="&amp;'Cost_Assumptions'!$B$7)</x:f>
        <x:v>7830.875</x:v>
      </x:c>
      <x:c r="M9" s="26" t="n">
        <x:f>SUMIFS('Sales_Detail'!$K$2:$K$289,'Sales_Detail'!$D$2:$D$289,A9,'Sales_Detail'!$A$2:$A$289,"&gt;="&amp;'Cost_Assumptions'!$B$6,'Sales_Detail'!$A$2:$A$289,"&lt;="&amp;'Cost_Assumptions'!$B$7)</x:f>
        <x:v>609.9439561396555</x:v>
      </x:c>
      <x:c r="N9" s="26" t="n">
        <x:f>SUMIFS('BOM_Cost'!$H$2:$H$121,'BOM_Cost'!$A$2:$A$121,A9)</x:f>
        <x:v>10.662801367</x:v>
      </x:c>
      <x:c r="O9" s="26" t="n">
        <x:f>IFERROR(INDEX('Routing'!$M$2:$M$25,MATCH(A9,'Routing'!$A$2:$A$25,0)),0)</x:f>
        <x:v>0.24047619047619048</x:v>
      </x:c>
      <x:c r="P9" s="26" t="n">
        <x:f>IFERROR(INDEX('Routing'!$N$2:$N$25,MATCH(A9,'Routing'!$A$2:$A$25,0)),0)</x:f>
        <x:v>0.831154761904762</x:v>
      </x:c>
      <x:c r="Q9" s="26" t="n">
        <x:f>N9+O9+P9+IF(F9=0,0,(L9+M9)/F9)</x:f>
        <x:v>16.44997363566009</x:v>
      </x:c>
      <x:c r="R9" s="26" t="n">
        <x:f>F9*N9</x:f>
        <x:v>19086.41444693</x:v>
      </x:c>
      <x:c r="S9" s="26" t="n">
        <x:f>F9*(O9+P9)</x:f>
        <x:v>1918.2194047619048</x:v>
      </x:c>
      <x:c r="T9" s="26" t="n">
        <x:f>J9-L9-M9-R9-S9</x:f>
        <x:v>-1720.727528756306</x:v>
      </x:c>
      <x:c r="U9" s="30" t="n">
        <x:f>IF(J9=0,0,T9/J9)</x:f>
        <x:v>-0.06206472783537353</x:v>
      </x:c>
      <x:c r="V9" s="89" t="n">
        <x:f>F9*IFERROR(INDEX('Routing'!$P$2:$P$25,MATCH(A9,'Routing'!$A$2:$A$25,0)),0)</x:f>
        <x:v>39.08166666666666</x:v>
      </x:c>
      <x:c r="W9" s="26" t="n">
        <x:f>IF(V9=0,0,T9/V9)</x:f>
        <x:v>-44.029021163110734</x:v>
      </x:c>
      <x:c r="X9" s="26" t="n">
        <x:f>F9*IFERROR(INDEX('Routing'!$R$2:$R$25,MATCH(A9,'Routing'!$A$2:$A$25,0)),0)</x:f>
        <x:v>1736.9629629629628</x:v>
      </x:c>
      <x:c r="Y9" s="26" t="n">
        <x:f>R9+F9*IFERROR(INDEX('Routing'!$S$2:$S$25,MATCH(A9,'Routing'!$A$2:$A$25,0)),0)+X9</x:f>
        <x:v>22741.59681465487</x:v>
      </x:c>
      <x:c r="Z9" s="26" t="n">
        <x:f>J9-Y9</x:f>
        <x:v>4983.128464420384</x:v>
      </x:c>
      <x:c r="AA9" s="30" t="n">
        <x:f>IF(J9=0,0,Z9/J9)</x:f>
        <x:v>0.17973590050976312</x:v>
      </x:c>
      <x:c r="AB9" s="26" t="n">
        <x:f>T9-X9</x:f>
        <x:v>-3457.6904917192687</x:v>
      </x:c>
      <x:c r="AC9" s="30" t="n">
        <x:f>IF(J9=0,0,AB9/J9)</x:f>
        <x:v>-0.12471504972238262</x:v>
      </x:c>
      <x:c r="AD9" s="30" t="n">
        <x:f>IFERROR(IF(AND(INDEX('Product_Master'!$G$2:$G$25,MATCH(A9,'Product_Master'!$A$2:$A$25,0))&gt;0,INDEX('Product_Master'!$G$2:$G$25,MATCH(A9,'Product_Master'!$A$2:$A$25,0))&lt;1),INDEX('Product_Master'!$G$2:$G$25,MATCH(A9,'Product_Master'!$A$2:$A$25,0)),'Cost_Assumptions'!$B$13),'Cost_Assumptions'!$B$13)</x:f>
        <x:v>0.345</x:v>
      </x:c>
      <x:c r="AE9" s="26" t="n">
        <x:f>IF(OR(F9=0,J9=0,(1-AD9-M9/J9)&lt;=0),0,(Q9-M9/F9)/(1-AD9-M9/J9))</x:f>
        <x:v>25.44900919774763</x:v>
      </x:c>
      <x:c r="AF9" s="26" t="n">
        <x:f>MAX(0,AE9-K9)</x:f>
        <x:v>9.960335857482123</x:v>
      </x:c>
      <x:c r="AG9" s="26" t="n">
        <x:f>AF9*F9</x:f>
        <x:v>17829.001184893</x:v>
      </x:c>
      <x:c r="AH9" s="30" t="n">
        <x:f>IFERROR(INDEX('Routing'!$I$2:$I$25,MATCH(A9,'Routing'!$A$2:$A$25,0)),0)</x:f>
        <x:v>0.21810250817884405</x:v>
      </x:c>
      <x:c r="AI9" s="7" t="str">
        <x:f>IF(AJ9="REVIEW","DATA REVIEW",IF(E9="Yes","STRATEGIC REVIEW",IF(T9&lt;=0,"IMMEDIATE REVIEW",IF(U9&lt;AD9,"PRICE / COST REVIEW",IF(AH9&gt;'Cost_Assumptions'!$B$12,"BATCH / MOQ REVIEW",IF(W9&lt;'Cost_Assumptions'!$B$11,"CAPACITY DRAG",IF(AND(U9&gt;=AD9+'Cost_Assumptions'!$B$14,W9&gt;='Cost_Assumptions'!$B$11),"PROTECT &amp; GROW","MONITOR")))))))</x:f>
        <x:v>IMMEDIATE REVIEW</x:v>
      </x:c>
      <x:c r="AJ9" s="7" t="str">
        <x:f>IF(OR(COUNTIF('BOM_Cost'!$A$2:$A$121,A9)=0,COUNTIF('Routing'!$A$2:$A$25,A9)=0,F9&lt;=0,K9&lt;=0,IFERROR(INDEX('Product_Master'!$N$2:$N$25,MATCH(A9,'Product_Master'!$A$2:$A$25,0)),"REVIEW")="REVIEW"),"REVIEW","OK")</x:f>
        <x:v>OK</x:v>
      </x:c>
      <x:c r="AK9" s="32" t="n">
        <x:f>IF(AI9="DATA REVIEW",8,IF(AI9="STRATEGIC REVIEW",7,IF(AI9="IMMEDIATE REVIEW",6,IF(AI9="PRICE / COST REVIEW",5,IF(AI9="CAPACITY DRAG",4,IF(AI9="BATCH / MOQ REVIEW",3,IF(AI9="PROTECT &amp; GROW",2,1)))))))+MIN(0.8,AG9/10000000)+MIN(0.1,ABS(MIN(T9,0))/10000000)+ROW()/100000000</x:f>
        <x:v>6.001955062871366</x:v>
      </x:c>
      <x:c r="AL9" s="91" t="n">
        <x:f>RANK(AK9,$AK$2:$AK$25,0)</x:f>
        <x:v>5</x:v>
      </x:c>
      <x:c r="AM9" s="91" t="n">
        <x:f>RANK(T9,$T$2:$T$25,0)</x:f>
        <x:v>24</x:v>
      </x:c>
      <x:c r="AN9" s="92" t="n">
        <x:f>RANK(AG9,$AG$2:$AG$25,0)</x:f>
        <x:v>2</x:v>
      </x:c>
    </x:row>
    <x:row r="10">
      <x:c r="A10" s="6" t="str">
        <x:v>FG-009</x:v>
      </x:c>
      <x:c r="B10" s="7" t="str">
        <x:f>IFERROR(INDEX('Product_Master'!$B$2:$B$25,MATCH(A10,'Product_Master'!$A$2:$A$25,0)),"")</x:f>
        <x:v>Guard Tan Product</x:v>
      </x:c>
      <x:c r="C10" s="7" t="str">
        <x:f>IFERROR(INDEX('Product_Master'!$C$2:$C$25,MATCH(A10,'Product_Master'!$A$2:$A$25,0)),"")</x:f>
        <x:v>Guard</x:v>
      </x:c>
      <x:c r="D10" s="7" t="str">
        <x:f>IFERROR(INDEX('Product_Master'!$D$2:$D$25,MATCH(A10,'Product_Master'!$A$2:$A$25,0)),"")</x:f>
        <x:v>Line 2</x:v>
      </x:c>
      <x:c r="E10" s="7" t="str">
        <x:f>IFERROR(INDEX('Product_Master'!$E$2:$E$25,MATCH(A10,'Product_Master'!$A$2:$A$25,0)),"No")</x:f>
        <x:v>No</x:v>
      </x:c>
      <x:c r="F10" s="24" t="n">
        <x:f>SUMIFS('Sales_Detail'!$E$2:$E$289,'Sales_Detail'!$D$2:$D$289,A10,'Sales_Detail'!$A$2:$A$289,"&gt;="&amp;'Cost_Assumptions'!$B$6,'Sales_Detail'!$A$2:$A$289,"&lt;="&amp;'Cost_Assumptions'!$B$7)</x:f>
        <x:v>3440</x:v>
      </x:c>
      <x:c r="G10" s="26" t="n">
        <x:f>SUMIFS('Sales_Detail'!$F$2:$F$289,'Sales_Detail'!$D$2:$D$289,A10,'Sales_Detail'!$A$2:$A$289,"&gt;="&amp;'Cost_Assumptions'!$B$6,'Sales_Detail'!$A$2:$A$289,"&lt;="&amp;'Cost_Assumptions'!$B$7)</x:f>
        <x:v>76009.22213498253</x:v>
      </x:c>
      <x:c r="H10" s="26" t="n">
        <x:f>SUMIFS('Sales_Detail'!$G$2:$G$289,'Sales_Detail'!$D$2:$D$289,A10,'Sales_Detail'!$A$2:$A$289,"&gt;="&amp;'Cost_Assumptions'!$B$6,'Sales_Detail'!$A$2:$A$289,"&lt;="&amp;'Cost_Assumptions'!$B$7)</x:f>
        <x:v>1900.2305533745625</x:v>
      </x:c>
      <x:c r="I10" s="26" t="n">
        <x:f>SUMIFS('Sales_Detail'!$H$2:$H$289,'Sales_Detail'!$D$2:$D$289,A10,'Sales_Detail'!$A$2:$A$289,"&gt;="&amp;'Cost_Assumptions'!$B$6,'Sales_Detail'!$A$2:$A$289,"&lt;="&amp;'Cost_Assumptions'!$B$7)</x:f>
        <x:v>205.67154460013077</x:v>
      </x:c>
      <x:c r="J10" s="26" t="n">
        <x:f>SUMIFS('Sales_Detail'!$I$2:$I$289,'Sales_Detail'!$D$2:$D$289,A10,'Sales_Detail'!$A$2:$A$289,"&gt;="&amp;'Cost_Assumptions'!$B$6,'Sales_Detail'!$A$2:$A$289,"&lt;="&amp;'Cost_Assumptions'!$B$7)</x:f>
        <x:v>73903.32003700783</x:v>
      </x:c>
      <x:c r="K10" s="26" t="n">
        <x:f>IF(F10=0,0,J10/F10)</x:f>
        <x:v>21.483523266572043</x:v>
      </x:c>
      <x:c r="L10" s="26" t="n">
        <x:f>SUMIFS('Sales_Detail'!$J$2:$J$289,'Sales_Detail'!$D$2:$D$289,A10,'Sales_Detail'!$A$2:$A$289,"&gt;="&amp;'Cost_Assumptions'!$B$6,'Sales_Detail'!$A$2:$A$289,"&lt;="&amp;'Cost_Assumptions'!$B$7)</x:f>
        <x:v>17427.84</x:v>
      </x:c>
      <x:c r="M10" s="26" t="n">
        <x:f>SUMIFS('Sales_Detail'!$K$2:$K$289,'Sales_Detail'!$D$2:$D$289,A10,'Sales_Detail'!$A$2:$A$289,"&gt;="&amp;'Cost_Assumptions'!$B$6,'Sales_Detail'!$A$2:$A$289,"&lt;="&amp;'Cost_Assumptions'!$B$7)</x:f>
        <x:v>1921.4863209622033</x:v>
      </x:c>
      <x:c r="N10" s="26" t="n">
        <x:f>SUMIFS('BOM_Cost'!$H$2:$H$121,'BOM_Cost'!$A$2:$A$121,A10)</x:f>
        <x:v>10.49879421</x:v>
      </x:c>
      <x:c r="O10" s="26" t="n">
        <x:f>IFERROR(INDEX('Routing'!$M$2:$M$25,MATCH(A10,'Routing'!$A$2:$A$25,0)),0)</x:f>
        <x:v>0.5260416666666666</x:v>
      </x:c>
      <x:c r="P10" s="26" t="n">
        <x:f>IFERROR(INDEX('Routing'!$N$2:$N$25,MATCH(A10,'Routing'!$A$2:$A$25,0)),0)</x:f>
        <x:v>1.2222708333333334</x:v>
      </x:c>
      <x:c r="Q10" s="26" t="n">
        <x:f>N10+O10+P10+IF(F10=0,0,(L10+M10)/F10)</x:f>
        <x:v>17.871910873070405</x:v>
      </x:c>
      <x:c r="R10" s="26" t="n">
        <x:f>F10*N10</x:f>
        <x:v>36115.8520824</x:v>
      </x:c>
      <x:c r="S10" s="26" t="n">
        <x:f>F10*(O10+P10)</x:f>
        <x:v>6014.195</x:v>
      </x:c>
      <x:c r="T10" s="26" t="n">
        <x:f>J10-L10-M10-R10-S10</x:f>
        <x:v>12423.946633645624</x:v>
      </x:c>
      <x:c r="U10" s="30" t="n">
        <x:f>IF(J10=0,0,T10/J10)</x:f>
        <x:v>0.16811080513601026</x:v>
      </x:c>
      <x:c r="V10" s="89" t="n">
        <x:f>F10*IFERROR(INDEX('Routing'!$P$2:$P$25,MATCH(A10,'Routing'!$A$2:$A$25,0)),0)</x:f>
        <x:v>153.22333333333333</x:v>
      </x:c>
      <x:c r="W10" s="26" t="n">
        <x:f>IF(V10=0,0,T10/V10)</x:f>
        <x:v>81.08390780546235</x:v>
      </x:c>
      <x:c r="X10" s="26" t="n">
        <x:f>F10*IFERROR(INDEX('Routing'!$R$2:$R$25,MATCH(A10,'Routing'!$A$2:$A$25,0)),0)</x:f>
        <x:v>6809.925925925926</x:v>
      </x:c>
      <x:c r="Y10" s="26" t="n">
        <x:f>R10+F10*IFERROR(INDEX('Routing'!$S$2:$S$25,MATCH(A10,'Routing'!$A$2:$A$25,0)),0)+X10</x:f>
        <x:v>48939.97300832593</x:v>
      </x:c>
      <x:c r="Z10" s="26" t="n">
        <x:f>J10-Y10</x:f>
        <x:v>24963.3470286819</x:v>
      </x:c>
      <x:c r="AA10" s="30" t="n">
        <x:f>IF(J10=0,0,Z10/J10)</x:f>
        <x:v>0.3377838372644322</x:v>
      </x:c>
      <x:c r="AB10" s="26" t="n">
        <x:f>T10-X10</x:f>
        <x:v>5614.020707719698</x:v>
      </x:c>
      <x:c r="AC10" s="30" t="n">
        <x:f>IF(J10=0,0,AB10/J10)</x:f>
        <x:v>0.07596439111136578</x:v>
      </x:c>
      <x:c r="AD10" s="30" t="n">
        <x:f>IFERROR(IF(AND(INDEX('Product_Master'!$G$2:$G$25,MATCH(A10,'Product_Master'!$A$2:$A$25,0))&gt;0,INDEX('Product_Master'!$G$2:$G$25,MATCH(A10,'Product_Master'!$A$2:$A$25,0))&lt;1),INDEX('Product_Master'!$G$2:$G$25,MATCH(A10,'Product_Master'!$A$2:$A$25,0)),'Cost_Assumptions'!$B$13),'Cost_Assumptions'!$B$13)</x:f>
        <x:v>0.3</x:v>
      </x:c>
      <x:c r="AE10" s="26" t="n">
        <x:f>IF(OR(F10=0,J10=0,(1-AD10-M10/J10)&lt;=0),0,(Q10-M10/F10)/(1-AD10-M10/J10))</x:f>
        <x:v>25.68744698537023</x:v>
      </x:c>
      <x:c r="AF10" s="26" t="n">
        <x:f>MAX(0,AE10-K10)</x:f>
        <x:v>4.203923718798187</x:v>
      </x:c>
      <x:c r="AG10" s="26" t="n">
        <x:f>AF10*F10</x:f>
        <x:v>14461.497592665763</x:v>
      </x:c>
      <x:c r="AH10" s="30" t="n">
        <x:f>IFERROR(INDEX('Routing'!$I$2:$I$25,MATCH(A10,'Routing'!$A$2:$A$25,0)),0)</x:f>
        <x:v>0.23386342376052385</x:v>
      </x:c>
      <x:c r="AI10" s="7" t="str">
        <x:f>IF(AJ10="REVIEW","DATA REVIEW",IF(E10="Yes","STRATEGIC REVIEW",IF(T10&lt;=0,"IMMEDIATE REVIEW",IF(U10&lt;AD10,"PRICE / COST REVIEW",IF(AH10&gt;'Cost_Assumptions'!$B$12,"BATCH / MOQ REVIEW",IF(W10&lt;'Cost_Assumptions'!$B$11,"CAPACITY DRAG",IF(AND(U10&gt;=AD10+'Cost_Assumptions'!$B$14,W10&gt;='Cost_Assumptions'!$B$11),"PROTECT &amp; GROW","MONITOR")))))))</x:f>
        <x:v>PRICE / COST REVIEW</x:v>
      </x:c>
      <x:c r="AJ10" s="7" t="str">
        <x:f>IF(OR(COUNTIF('BOM_Cost'!$A$2:$A$121,A10)=0,COUNTIF('Routing'!$A$2:$A$25,A10)=0,F10&lt;=0,K10&lt;=0,IFERROR(INDEX('Product_Master'!$N$2:$N$25,MATCH(A10,'Product_Master'!$A$2:$A$25,0)),"REVIEW")="REVIEW"),"REVIEW","OK")</x:f>
        <x:v>OK</x:v>
      </x:c>
      <x:c r="AK10" s="32" t="n">
        <x:f>IF(AI10="DATA REVIEW",8,IF(AI10="STRATEGIC REVIEW",7,IF(AI10="IMMEDIATE REVIEW",6,IF(AI10="PRICE / COST REVIEW",5,IF(AI10="CAPACITY DRAG",4,IF(AI10="BATCH / MOQ REVIEW",3,IF(AI10="PROTECT &amp; GROW",2,1)))))))+MIN(0.8,AG10/10000000)+MIN(0.1,ABS(MIN(T10,0))/10000000)+ROW()/100000000</x:f>
        <x:v>5.001446249759267</x:v>
      </x:c>
      <x:c r="AL10" s="91" t="n">
        <x:f>RANK(AK10,$AK$2:$AK$25,0)</x:f>
        <x:v>9</x:v>
      </x:c>
      <x:c r="AM10" s="91" t="n">
        <x:f>RANK(T10,$T$2:$T$25,0)</x:f>
        <x:v>13</x:v>
      </x:c>
      <x:c r="AN10" s="92" t="n">
        <x:f>RANK(AG10,$AG$2:$AG$25,0)</x:f>
        <x:v>5</x:v>
      </x:c>
    </x:row>
    <x:row r="11">
      <x:c r="A11" s="6" t="str">
        <x:v>FG-010</x:v>
      </x:c>
      <x:c r="B11" s="7" t="str">
        <x:f>IFERROR(INDEX('Product_Master'!$B$2:$B$25,MATCH(A11,'Product_Master'!$A$2:$A$25,0)),"")</x:f>
        <x:v>Guard Blue Product</x:v>
      </x:c>
      <x:c r="C11" s="7" t="str">
        <x:f>IFERROR(INDEX('Product_Master'!$C$2:$C$25,MATCH(A11,'Product_Master'!$A$2:$A$25,0)),"")</x:f>
        <x:v>Guard</x:v>
      </x:c>
      <x:c r="D11" s="7" t="str">
        <x:f>IFERROR(INDEX('Product_Master'!$D$2:$D$25,MATCH(A11,'Product_Master'!$A$2:$A$25,0)),"")</x:f>
        <x:v>Line 2</x:v>
      </x:c>
      <x:c r="E11" s="7" t="str">
        <x:f>IFERROR(INDEX('Product_Master'!$E$2:$E$25,MATCH(A11,'Product_Master'!$A$2:$A$25,0)),"No")</x:f>
        <x:v>No</x:v>
      </x:c>
      <x:c r="F11" s="24" t="n">
        <x:f>SUMIFS('Sales_Detail'!$E$2:$E$289,'Sales_Detail'!$D$2:$D$289,A11,'Sales_Detail'!$A$2:$A$289,"&gt;="&amp;'Cost_Assumptions'!$B$6,'Sales_Detail'!$A$2:$A$289,"&lt;="&amp;'Cost_Assumptions'!$B$7)</x:f>
        <x:v>1560</x:v>
      </x:c>
      <x:c r="G11" s="26" t="n">
        <x:f>SUMIFS('Sales_Detail'!$F$2:$F$289,'Sales_Detail'!$D$2:$D$289,A11,'Sales_Detail'!$A$2:$A$289,"&gt;="&amp;'Cost_Assumptions'!$B$6,'Sales_Detail'!$A$2:$A$289,"&lt;="&amp;'Cost_Assumptions'!$B$7)</x:f>
        <x:v>59878.41364082323</x:v>
      </x:c>
      <x:c r="H11" s="26" t="n">
        <x:f>SUMIFS('Sales_Detail'!$G$2:$G$289,'Sales_Detail'!$D$2:$D$289,A11,'Sales_Detail'!$A$2:$A$289,"&gt;="&amp;'Cost_Assumptions'!$B$6,'Sales_Detail'!$A$2:$A$289,"&lt;="&amp;'Cost_Assumptions'!$B$7)</x:f>
        <x:v>1856.2308228655197</x:v>
      </x:c>
      <x:c r="I11" s="26" t="n">
        <x:f>SUMIFS('Sales_Detail'!$H$2:$H$289,'Sales_Detail'!$D$2:$D$289,A11,'Sales_Detail'!$A$2:$A$289,"&gt;="&amp;'Cost_Assumptions'!$B$6,'Sales_Detail'!$A$2:$A$289,"&lt;="&amp;'Cost_Assumptions'!$B$7)</x:f>
        <x:v>168.87023349314885</x:v>
      </x:c>
      <x:c r="J11" s="26" t="n">
        <x:f>SUMIFS('Sales_Detail'!$I$2:$I$289,'Sales_Detail'!$D$2:$D$289,A11,'Sales_Detail'!$A$2:$A$289,"&gt;="&amp;'Cost_Assumptions'!$B$6,'Sales_Detail'!$A$2:$A$289,"&lt;="&amp;'Cost_Assumptions'!$B$7)</x:f>
        <x:v>57853.312584464555</x:v>
      </x:c>
      <x:c r="K11" s="26" t="n">
        <x:f>IF(F11=0,0,J11/F11)</x:f>
        <x:v>37.08545678491318</x:v>
      </x:c>
      <x:c r="L11" s="26" t="n">
        <x:f>SUMIFS('Sales_Detail'!$J$2:$J$289,'Sales_Detail'!$D$2:$D$289,A11,'Sales_Detail'!$A$2:$A$289,"&gt;="&amp;'Cost_Assumptions'!$B$6,'Sales_Detail'!$A$2:$A$289,"&lt;="&amp;'Cost_Assumptions'!$B$7)</x:f>
        <x:v>12455.300000000001</x:v>
      </x:c>
      <x:c r="M11" s="26" t="n">
        <x:f>SUMIFS('Sales_Detail'!$K$2:$K$289,'Sales_Detail'!$D$2:$D$289,A11,'Sales_Detail'!$A$2:$A$289,"&gt;="&amp;'Cost_Assumptions'!$B$6,'Sales_Detail'!$A$2:$A$289,"&lt;="&amp;'Cost_Assumptions'!$B$7)</x:f>
        <x:v>1041.3596265203619</x:v>
      </x:c>
      <x:c r="N11" s="26" t="n">
        <x:f>SUMIFS('BOM_Cost'!$H$2:$H$121,'BOM_Cost'!$A$2:$A$121,A11)</x:f>
        <x:v>10.726596008000001</x:v>
      </x:c>
      <x:c r="O11" s="26" t="n">
        <x:f>IFERROR(INDEX('Routing'!$M$2:$M$25,MATCH(A11,'Routing'!$A$2:$A$25,0)),0)</x:f>
        <x:v>0.6733333333333333</x:v>
      </x:c>
      <x:c r="P11" s="26" t="n">
        <x:f>IFERROR(INDEX('Routing'!$N$2:$N$25,MATCH(A11,'Routing'!$A$2:$A$25,0)),0)</x:f>
        <x:v>5.193333333333333</x:v>
      </x:c>
      <x:c r="Q11" s="26" t="n">
        <x:f>N11+O11+P11+IF(F11=0,0,(L11+M11)/F11)</x:f>
        <x:v>25.24496756346177</x:v>
      </x:c>
      <x:c r="R11" s="26" t="n">
        <x:f>F11*N11</x:f>
        <x:v>16733.489772480003</x:v>
      </x:c>
      <x:c r="S11" s="26" t="n">
        <x:f>F11*(O11+P11)</x:f>
        <x:v>9152</x:v>
      </x:c>
      <x:c r="T11" s="26" t="n">
        <x:f>J11-L11-M11-R11-S11</x:f>
        <x:v>18471.16318546419</x:v>
      </x:c>
      <x:c r="U11" s="30" t="n">
        <x:f>IF(J11=0,0,T11/J11)</x:f>
        <x:v>0.3192758091163181</x:v>
      </x:c>
      <x:c r="V11" s="89" t="n">
        <x:f>F11*IFERROR(INDEX('Routing'!$P$2:$P$25,MATCH(A11,'Routing'!$A$2:$A$25,0)),0)</x:f>
        <x:v>208</x:v>
      </x:c>
      <x:c r="W11" s="26" t="n">
        <x:f>IF(V11=0,0,T11/V11)</x:f>
        <x:v>88.80366916088552</x:v>
      </x:c>
      <x:c r="X11" s="26" t="n">
        <x:f>F11*IFERROR(INDEX('Routing'!$R$2:$R$25,MATCH(A11,'Routing'!$A$2:$A$25,0)),0)</x:f>
        <x:v>9244.444444444443</x:v>
      </x:c>
      <x:c r="Y11" s="26" t="n">
        <x:f>R11+F11*IFERROR(INDEX('Routing'!$S$2:$S$25,MATCH(A11,'Routing'!$A$2:$A$25,0)),0)+X11</x:f>
        <x:v>35129.93421692445</x:v>
      </x:c>
      <x:c r="Z11" s="26" t="n">
        <x:f>J11-Y11</x:f>
        <x:v>22723.378367540106</x:v>
      </x:c>
      <x:c r="AA11" s="30" t="n">
        <x:f>IF(J11=0,0,Z11/J11)</x:f>
        <x:v>0.3927757521985362</x:v>
      </x:c>
      <x:c r="AB11" s="26" t="n">
        <x:f>T11-X11</x:f>
        <x:v>9226.718741019746</x:v>
      </x:c>
      <x:c r="AC11" s="30" t="n">
        <x:f>IF(J11=0,0,AB11/J11)</x:f>
        <x:v>0.15948470932496633</x:v>
      </x:c>
      <x:c r="AD11" s="30" t="n">
        <x:f>IFERROR(IF(AND(INDEX('Product_Master'!$G$2:$G$25,MATCH(A11,'Product_Master'!$A$2:$A$25,0))&gt;0,INDEX('Product_Master'!$G$2:$G$25,MATCH(A11,'Product_Master'!$A$2:$A$25,0))&lt;1),INDEX('Product_Master'!$G$2:$G$25,MATCH(A11,'Product_Master'!$A$2:$A$25,0)),'Cost_Assumptions'!$B$13),'Cost_Assumptions'!$B$13)</x:f>
        <x:v>0.315</x:v>
      </x:c>
      <x:c r="AE11" s="26" t="n">
        <x:f>IF(OR(F11=0,J11=0,(1-AD11-M11/J11)&lt;=0),0,(Q11-M11/F11)/(1-AD11-M11/J11))</x:f>
        <x:v>36.84772015192404</x:v>
      </x:c>
      <x:c r="AF11" s="26" t="n">
        <x:f>MAX(0,AE11-K11)</x:f>
        <x:v>0</x:v>
      </x:c>
      <x:c r="AG11" s="26" t="n">
        <x:f>AF11*F11</x:f>
        <x:v>0</x:v>
      </x:c>
      <x:c r="AH11" s="30" t="n">
        <x:f>IFERROR(INDEX('Routing'!$I$2:$I$25,MATCH(A11,'Routing'!$A$2:$A$25,0)),0)</x:f>
        <x:v>0.1</x:v>
      </x:c>
      <x:c r="AI11" s="7" t="str">
        <x:f>IF(AJ11="REVIEW","DATA REVIEW",IF(E11="Yes","STRATEGIC REVIEW",IF(T11&lt;=0,"IMMEDIATE REVIEW",IF(U11&lt;AD11,"PRICE / COST REVIEW",IF(AH11&gt;'Cost_Assumptions'!$B$12,"BATCH / MOQ REVIEW",IF(W11&lt;'Cost_Assumptions'!$B$11,"CAPACITY DRAG",IF(AND(U11&gt;=AD11+'Cost_Assumptions'!$B$14,W11&gt;='Cost_Assumptions'!$B$11),"PROTECT &amp; GROW","MONITOR")))))))</x:f>
        <x:v>CAPACITY DRAG</x:v>
      </x:c>
      <x:c r="AJ11" s="7" t="str">
        <x:f>IF(OR(COUNTIF('BOM_Cost'!$A$2:$A$121,A11)=0,COUNTIF('Routing'!$A$2:$A$25,A11)=0,F11&lt;=0,K11&lt;=0,IFERROR(INDEX('Product_Master'!$N$2:$N$25,MATCH(A11,'Product_Master'!$A$2:$A$25,0)),"REVIEW")="REVIEW"),"REVIEW","OK")</x:f>
        <x:v>OK</x:v>
      </x:c>
      <x:c r="AK11" s="32" t="n">
        <x:f>IF(AI11="DATA REVIEW",8,IF(AI11="STRATEGIC REVIEW",7,IF(AI11="IMMEDIATE REVIEW",6,IF(AI11="PRICE / COST REVIEW",5,IF(AI11="CAPACITY DRAG",4,IF(AI11="BATCH / MOQ REVIEW",3,IF(AI11="PROTECT &amp; GROW",2,1)))))))+MIN(0.8,AG11/10000000)+MIN(0.1,ABS(MIN(T11,0))/10000000)+ROW()/100000000</x:f>
        <x:v>4.00000011</x:v>
      </x:c>
      <x:c r="AL11" s="91" t="n">
        <x:f>RANK(AK11,$AK$2:$AK$25,0)</x:f>
        <x:v>13</x:v>
      </x:c>
      <x:c r="AM11" s="91" t="n">
        <x:f>RANK(T11,$T$2:$T$25,0)</x:f>
        <x:v>8</x:v>
      </x:c>
      <x:c r="AN11" s="92" t="n">
        <x:f>RANK(AG11,$AG$2:$AG$25,0)</x:f>
        <x:v>12</x:v>
      </x:c>
    </x:row>
    <x:row r="12">
      <x:c r="A12" s="6" t="str">
        <x:v>FG-011</x:v>
      </x:c>
      <x:c r="B12" s="7" t="str">
        <x:f>IFERROR(INDEX('Product_Master'!$B$2:$B$25,MATCH(A12,'Product_Master'!$A$2:$A$25,0)),"")</x:f>
        <x:v>Guard Gray Product</x:v>
      </x:c>
      <x:c r="C12" s="7" t="str">
        <x:f>IFERROR(INDEX('Product_Master'!$C$2:$C$25,MATCH(A12,'Product_Master'!$A$2:$A$25,0)),"")</x:f>
        <x:v>Guard</x:v>
      </x:c>
      <x:c r="D12" s="7" t="str">
        <x:f>IFERROR(INDEX('Product_Master'!$D$2:$D$25,MATCH(A12,'Product_Master'!$A$2:$A$25,0)),"")</x:f>
        <x:v>Line 2</x:v>
      </x:c>
      <x:c r="E12" s="7" t="str">
        <x:f>IFERROR(INDEX('Product_Master'!$E$2:$E$25,MATCH(A12,'Product_Master'!$A$2:$A$25,0)),"No")</x:f>
        <x:v>No</x:v>
      </x:c>
      <x:c r="F12" s="24" t="n">
        <x:f>SUMIFS('Sales_Detail'!$E$2:$E$289,'Sales_Detail'!$D$2:$D$289,A12,'Sales_Detail'!$A$2:$A$289,"&gt;="&amp;'Cost_Assumptions'!$B$6,'Sales_Detail'!$A$2:$A$289,"&lt;="&amp;'Cost_Assumptions'!$B$7)</x:f>
        <x:v>5010</x:v>
      </x:c>
      <x:c r="G12" s="26" t="n">
        <x:f>SUMIFS('Sales_Detail'!$F$2:$F$289,'Sales_Detail'!$D$2:$D$289,A12,'Sales_Detail'!$A$2:$A$289,"&gt;="&amp;'Cost_Assumptions'!$B$6,'Sales_Detail'!$A$2:$A$289,"&lt;="&amp;'Cost_Assumptions'!$B$7)</x:f>
        <x:v>123897.37816207246</x:v>
      </x:c>
      <x:c r="H12" s="26" t="n">
        <x:f>SUMIFS('Sales_Detail'!$G$2:$G$289,'Sales_Detail'!$D$2:$D$289,A12,'Sales_Detail'!$A$2:$A$289,"&gt;="&amp;'Cost_Assumptions'!$B$6,'Sales_Detail'!$A$2:$A$289,"&lt;="&amp;'Cost_Assumptions'!$B$7)</x:f>
        <x:v>4584.202991996682</x:v>
      </x:c>
      <x:c r="I12" s="26" t="n">
        <x:f>SUMIFS('Sales_Detail'!$H$2:$H$289,'Sales_Detail'!$D$2:$D$289,A12,'Sales_Detail'!$A$2:$A$289,"&gt;="&amp;'Cost_Assumptions'!$B$6,'Sales_Detail'!$A$2:$A$289,"&lt;="&amp;'Cost_Assumptions'!$B$7)</x:f>
        <x:v>336.7076566847968</x:v>
      </x:c>
      <x:c r="J12" s="26" t="n">
        <x:f>SUMIFS('Sales_Detail'!$I$2:$I$289,'Sales_Detail'!$D$2:$D$289,A12,'Sales_Detail'!$A$2:$A$289,"&gt;="&amp;'Cost_Assumptions'!$B$6,'Sales_Detail'!$A$2:$A$289,"&lt;="&amp;'Cost_Assumptions'!$B$7)</x:f>
        <x:v>118976.46751339096</x:v>
      </x:c>
      <x:c r="K12" s="26" t="n">
        <x:f>IF(F12=0,0,J12/F12)</x:f>
        <x:v>23.747797906864463</x:v>
      </x:c>
      <x:c r="L12" s="26" t="n">
        <x:f>SUMIFS('Sales_Detail'!$J$2:$J$289,'Sales_Detail'!$D$2:$D$289,A12,'Sales_Detail'!$A$2:$A$289,"&gt;="&amp;'Cost_Assumptions'!$B$6,'Sales_Detail'!$A$2:$A$289,"&lt;="&amp;'Cost_Assumptions'!$B$7)</x:f>
        <x:v>11948.85</x:v>
      </x:c>
      <x:c r="M12" s="26" t="n">
        <x:f>SUMIFS('Sales_Detail'!$K$2:$K$289,'Sales_Detail'!$D$2:$D$289,A12,'Sales_Detail'!$A$2:$A$289,"&gt;="&amp;'Cost_Assumptions'!$B$6,'Sales_Detail'!$A$2:$A$289,"&lt;="&amp;'Cost_Assumptions'!$B$7)</x:f>
        <x:v>2617.4822852946013</x:v>
      </x:c>
      <x:c r="N12" s="26" t="n">
        <x:f>SUMIFS('BOM_Cost'!$H$2:$H$121,'BOM_Cost'!$A$2:$A$121,A12)</x:f>
        <x:v>9.976583389999998</x:v>
      </x:c>
      <x:c r="O12" s="26" t="n">
        <x:f>IFERROR(INDEX('Routing'!$M$2:$M$25,MATCH(A12,'Routing'!$A$2:$A$25,0)),0)</x:f>
        <x:v>0.12023809523809524</x:v>
      </x:c>
      <x:c r="P12" s="26" t="n">
        <x:f>IFERROR(INDEX('Routing'!$N$2:$N$25,MATCH(A12,'Routing'!$A$2:$A$25,0)),0)</x:f>
        <x:v>0.42160714285714285</x:v>
      </x:c>
      <x:c r="Q12" s="26" t="n">
        <x:f>N12+O12+P12+IF(F12=0,0,(L12+M12)/F12)</x:f>
        <x:v>13.425880182046255</x:v>
      </x:c>
      <x:c r="R12" s="26" t="n">
        <x:f>F12*N12</x:f>
        <x:v>49982.68278389999</x:v>
      </x:c>
      <x:c r="S12" s="26" t="n">
        <x:f>F12*(O12+P12)</x:f>
        <x:v>2714.644642857143</x:v>
      </x:c>
      <x:c r="T12" s="26" t="n">
        <x:f>J12-L12-M12-R12-S12</x:f>
        <x:v>51712.80780133923</x:v>
      </x:c>
      <x:c r="U12" s="30" t="n">
        <x:f>IF(J12=0,0,T12/J12)</x:f>
        <x:v>0.4346473624754314</x:v>
      </x:c>
      <x:c r="V12" s="89" t="n">
        <x:f>F12*IFERROR(INDEX('Routing'!$P$2:$P$25,MATCH(A12,'Routing'!$A$2:$A$25,0)),0)</x:f>
        <x:v>61.43214285714286</x:v>
      </x:c>
      <x:c r="W12" s="26" t="n">
        <x:f>IF(V12=0,0,T12/V12)</x:f>
        <x:v>841.7874649366307</x:v>
      </x:c>
      <x:c r="X12" s="26" t="n">
        <x:f>F12*IFERROR(INDEX('Routing'!$R$2:$R$25,MATCH(A12,'Routing'!$A$2:$A$25,0)),0)</x:f>
        <x:v>2730.3174603174602</x:v>
      </x:c>
      <x:c r="Y12" s="26" t="n">
        <x:f>R12+F12*IFERROR(INDEX('Routing'!$S$2:$S$25,MATCH(A12,'Routing'!$A$2:$A$25,0)),0)+X12</x:f>
        <x:v>55427.644887074595</x:v>
      </x:c>
      <x:c r="Z12" s="26" t="n">
        <x:f>J12-Y12</x:f>
        <x:v>63548.82262631637</x:v>
      </x:c>
      <x:c r="AA12" s="30" t="n">
        <x:f>IF(J12=0,0,Z12/J12)</x:f>
        <x:v>0.5341293446888046</x:v>
      </x:c>
      <x:c r="AB12" s="26" t="n">
        <x:f>T12-X12</x:f>
        <x:v>48982.49034102177</x:v>
      </x:c>
      <x:c r="AC12" s="30" t="n">
        <x:f>IF(J12=0,0,AB12/J12)</x:f>
        <x:v>0.4116989801828561</x:v>
      </x:c>
      <x:c r="AD12" s="30" t="n">
        <x:f>IFERROR(IF(AND(INDEX('Product_Master'!$G$2:$G$25,MATCH(A12,'Product_Master'!$A$2:$A$25,0))&gt;0,INDEX('Product_Master'!$G$2:$G$25,MATCH(A12,'Product_Master'!$A$2:$A$25,0))&lt;1),INDEX('Product_Master'!$G$2:$G$25,MATCH(A12,'Product_Master'!$A$2:$A$25,0)),'Cost_Assumptions'!$B$13),'Cost_Assumptions'!$B$13)</x:f>
        <x:v>0.32999999999999996</x:v>
      </x:c>
      <x:c r="AE12" s="26" t="n">
        <x:f>IF(OR(F12=0,J12=0,(1-AD12-M12/J12)&lt;=0),0,(Q12-M12/F12)/(1-AD12-M12/J12))</x:f>
        <x:v>19.91269850014697</x:v>
      </x:c>
      <x:c r="AF12" s="26" t="n">
        <x:f>MAX(0,AE12-K12)</x:f>
        <x:v>0</x:v>
      </x:c>
      <x:c r="AG12" s="26" t="n">
        <x:f>AF12*F12</x:f>
        <x:v>0</x:v>
      </x:c>
      <x:c r="AH12" s="30" t="n">
        <x:f>IFERROR(INDEX('Routing'!$I$2:$I$25,MATCH(A12,'Routing'!$A$2:$A$25,0)),0)</x:f>
        <x:v>0.1941747572815534</x:v>
      </x:c>
      <x:c r="AI12" s="7" t="str">
        <x:f>IF(AJ12="REVIEW","DATA REVIEW",IF(E12="Yes","STRATEGIC REVIEW",IF(T12&lt;=0,"IMMEDIATE REVIEW",IF(U12&lt;AD12,"PRICE / COST REVIEW",IF(AH12&gt;'Cost_Assumptions'!$B$12,"BATCH / MOQ REVIEW",IF(W12&lt;'Cost_Assumptions'!$B$11,"CAPACITY DRAG",IF(AND(U12&gt;=AD12+'Cost_Assumptions'!$B$14,W12&gt;='Cost_Assumptions'!$B$11),"PROTECT &amp; GROW","MONITOR")))))))</x:f>
        <x:v>PROTECT &amp; GROW</x:v>
      </x:c>
      <x:c r="AJ12" s="7" t="str">
        <x:f>IF(OR(COUNTIF('BOM_Cost'!$A$2:$A$121,A12)=0,COUNTIF('Routing'!$A$2:$A$25,A12)=0,F12&lt;=0,K12&lt;=0,IFERROR(INDEX('Product_Master'!$N$2:$N$25,MATCH(A12,'Product_Master'!$A$2:$A$25,0)),"REVIEW")="REVIEW"),"REVIEW","OK")</x:f>
        <x:v>OK</x:v>
      </x:c>
      <x:c r="AK12" s="32" t="n">
        <x:f>IF(AI12="DATA REVIEW",8,IF(AI12="STRATEGIC REVIEW",7,IF(AI12="IMMEDIATE REVIEW",6,IF(AI12="PRICE / COST REVIEW",5,IF(AI12="CAPACITY DRAG",4,IF(AI12="BATCH / MOQ REVIEW",3,IF(AI12="PROTECT &amp; GROW",2,1)))))))+MIN(0.8,AG12/10000000)+MIN(0.1,ABS(MIN(T12,0))/10000000)+ROW()/100000000</x:f>
        <x:v>2.00000012</x:v>
      </x:c>
      <x:c r="AL12" s="91" t="n">
        <x:f>RANK(AK12,$AK$2:$AK$25,0)</x:f>
        <x:v>20</x:v>
      </x:c>
      <x:c r="AM12" s="91" t="n">
        <x:f>RANK(T12,$T$2:$T$25,0)</x:f>
        <x:v>3</x:v>
      </x:c>
      <x:c r="AN12" s="92" t="n">
        <x:f>RANK(AG12,$AG$2:$AG$25,0)</x:f>
        <x:v>12</x:v>
      </x:c>
    </x:row>
    <x:row r="13">
      <x:c r="A13" s="6" t="str">
        <x:v>FG-012</x:v>
      </x:c>
      <x:c r="B13" s="7" t="str">
        <x:f>IFERROR(INDEX('Product_Master'!$B$2:$B$25,MATCH(A13,'Product_Master'!$A$2:$A$25,0)),"")</x:f>
        <x:v>Guard Red Product</x:v>
      </x:c>
      <x:c r="C13" s="7" t="str">
        <x:f>IFERROR(INDEX('Product_Master'!$C$2:$C$25,MATCH(A13,'Product_Master'!$A$2:$A$25,0)),"")</x:f>
        <x:v>Guard</x:v>
      </x:c>
      <x:c r="D13" s="7" t="str">
        <x:f>IFERROR(INDEX('Product_Master'!$D$2:$D$25,MATCH(A13,'Product_Master'!$A$2:$A$25,0)),"")</x:f>
        <x:v>Line 2</x:v>
      </x:c>
      <x:c r="E13" s="7" t="str">
        <x:f>IFERROR(INDEX('Product_Master'!$E$2:$E$25,MATCH(A13,'Product_Master'!$A$2:$A$25,0)),"No")</x:f>
        <x:v>No</x:v>
      </x:c>
      <x:c r="F13" s="24" t="n">
        <x:f>SUMIFS('Sales_Detail'!$E$2:$E$289,'Sales_Detail'!$D$2:$D$289,A13,'Sales_Detail'!$A$2:$A$289,"&gt;="&amp;'Cost_Assumptions'!$B$6,'Sales_Detail'!$A$2:$A$289,"&lt;="&amp;'Cost_Assumptions'!$B$7)</x:f>
        <x:v>3540</x:v>
      </x:c>
      <x:c r="G13" s="26" t="n">
        <x:f>SUMIFS('Sales_Detail'!$F$2:$F$289,'Sales_Detail'!$D$2:$D$289,A13,'Sales_Detail'!$A$2:$A$289,"&gt;="&amp;'Cost_Assumptions'!$B$6,'Sales_Detail'!$A$2:$A$289,"&lt;="&amp;'Cost_Assumptions'!$B$7)</x:f>
        <x:v>84286.5850463344</x:v>
      </x:c>
      <x:c r="H13" s="26" t="n">
        <x:f>SUMIFS('Sales_Detail'!$G$2:$G$289,'Sales_Detail'!$D$2:$D$289,A13,'Sales_Detail'!$A$2:$A$289,"&gt;="&amp;'Cost_Assumptions'!$B$6,'Sales_Detail'!$A$2:$A$289,"&lt;="&amp;'Cost_Assumptions'!$B$7)</x:f>
        <x:v>3624.3231569923796</x:v>
      </x:c>
      <x:c r="I13" s="26" t="n">
        <x:f>SUMIFS('Sales_Detail'!$H$2:$H$289,'Sales_Detail'!$D$2:$D$289,A13,'Sales_Detail'!$A$2:$A$289,"&gt;="&amp;'Cost_Assumptions'!$B$6,'Sales_Detail'!$A$2:$A$289,"&lt;="&amp;'Cost_Assumptions'!$B$7)</x:f>
        <x:v>239.210155902879</x:v>
      </x:c>
      <x:c r="J13" s="26" t="n">
        <x:f>SUMIFS('Sales_Detail'!$I$2:$I$289,'Sales_Detail'!$D$2:$D$289,A13,'Sales_Detail'!$A$2:$A$289,"&gt;="&amp;'Cost_Assumptions'!$B$6,'Sales_Detail'!$A$2:$A$289,"&lt;="&amp;'Cost_Assumptions'!$B$7)</x:f>
        <x:v>80423.05173343915</x:v>
      </x:c>
      <x:c r="K13" s="26" t="n">
        <x:f>IF(F13=0,0,J13/F13)</x:f>
        <x:v>22.718376195886766</x:v>
      </x:c>
      <x:c r="L13" s="26" t="n">
        <x:f>SUMIFS('Sales_Detail'!$J$2:$J$289,'Sales_Detail'!$D$2:$D$289,A13,'Sales_Detail'!$A$2:$A$289,"&gt;="&amp;'Cost_Assumptions'!$B$6,'Sales_Detail'!$A$2:$A$289,"&lt;="&amp;'Cost_Assumptions'!$B$7)</x:f>
        <x:v>12351.95</x:v>
      </x:c>
      <x:c r="M13" s="26" t="n">
        <x:f>SUMIFS('Sales_Detail'!$K$2:$K$289,'Sales_Detail'!$D$2:$D$289,A13,'Sales_Detail'!$A$2:$A$289,"&gt;="&amp;'Cost_Assumptions'!$B$6,'Sales_Detail'!$A$2:$A$289,"&lt;="&amp;'Cost_Assumptions'!$B$7)</x:f>
        <x:v>2090.999345069418</x:v>
      </x:c>
      <x:c r="N13" s="26" t="n">
        <x:f>SUMIFS('BOM_Cost'!$H$2:$H$121,'BOM_Cost'!$A$2:$A$121,A13)</x:f>
        <x:v>9.6215833045</x:v>
      </x:c>
      <x:c r="O13" s="26" t="n">
        <x:f>IFERROR(INDEX('Routing'!$M$2:$M$25,MATCH(A13,'Routing'!$A$2:$A$25,0)),0)</x:f>
        <x:v>0.3005952380952381</x:v>
      </x:c>
      <x:c r="P13" s="26" t="n">
        <x:f>IFERROR(INDEX('Routing'!$N$2:$N$25,MATCH(A13,'Routing'!$A$2:$A$25,0)),0)</x:f>
        <x:v>0.8070119047619049</x:v>
      </x:c>
      <x:c r="Q13" s="26" t="n">
        <x:f>N13+O13+P13+IF(F13=0,0,(L13+M13)/F13)</x:f>
        <x:v>14.809119640879576</x:v>
      </x:c>
      <x:c r="R13" s="26" t="n">
        <x:f>F13*N13</x:f>
        <x:v>34060.40489793</x:v>
      </x:c>
      <x:c r="S13" s="26" t="n">
        <x:f>F13*(O13+P13)</x:f>
        <x:v>3920.9292857142864</x:v>
      </x:c>
      <x:c r="T13" s="26" t="n">
        <x:f>J13-L13-M13-R13-S13</x:f>
        <x:v>27998.76820472545</x:v>
      </x:c>
      <x:c r="U13" s="30" t="n">
        <x:f>IF(J13=0,0,T13/J13)</x:f>
        <x:v>0.3481435683083365</x:v>
      </x:c>
      <x:c r="V13" s="89" t="n">
        <x:f>F13*IFERROR(INDEX('Routing'!$P$2:$P$25,MATCH(A13,'Routing'!$A$2:$A$25,0)),0)</x:f>
        <x:v>74.93</x:v>
      </x:c>
      <x:c r="W13" s="26" t="n">
        <x:f>IF(V13=0,0,T13/V13)</x:f>
        <x:v>373.66566401608765</x:v>
      </x:c>
      <x:c r="X13" s="26" t="n">
        <x:f>F13*IFERROR(INDEX('Routing'!$R$2:$R$25,MATCH(A13,'Routing'!$A$2:$A$25,0)),0)</x:f>
        <x:v>3330.222222222222</x:v>
      </x:c>
      <x:c r="Y13" s="26" t="n">
        <x:f>R13+F13*IFERROR(INDEX('Routing'!$S$2:$S$25,MATCH(A13,'Routing'!$A$2:$A$25,0)),0)+X13</x:f>
        <x:v>41311.556405866504</x:v>
      </x:c>
      <x:c r="Z13" s="26" t="n">
        <x:f>J13-Y13</x:f>
        <x:v>39111.495327572644</x:v>
      </x:c>
      <x:c r="AA13" s="30" t="n">
        <x:f>IF(J13=0,0,Z13/J13)</x:f>
        <x:v>0.4863219497962728</x:v>
      </x:c>
      <x:c r="AB13" s="26" t="n">
        <x:f>T13-X13</x:f>
        <x:v>24668.545982503227</x:v>
      </x:c>
      <x:c r="AC13" s="30" t="n">
        <x:f>IF(J13=0,0,AB13/J13)</x:f>
        <x:v>0.30673476634866714</x:v>
      </x:c>
      <x:c r="AD13" s="30" t="n">
        <x:f>IFERROR(IF(AND(INDEX('Product_Master'!$G$2:$G$25,MATCH(A13,'Product_Master'!$A$2:$A$25,0))&gt;0,INDEX('Product_Master'!$G$2:$G$25,MATCH(A13,'Product_Master'!$A$2:$A$25,0))&lt;1),INDEX('Product_Master'!$G$2:$G$25,MATCH(A13,'Product_Master'!$A$2:$A$25,0)),'Cost_Assumptions'!$B$13),'Cost_Assumptions'!$B$13)</x:f>
        <x:v>0.345</x:v>
      </x:c>
      <x:c r="AE13" s="26" t="n">
        <x:f>IF(OR(F13=0,J13=0,(1-AD13-M13/J13)&lt;=0),0,(Q13-M13/F13)/(1-AD13-M13/J13))</x:f>
        <x:v>22.604836025097807</x:v>
      </x:c>
      <x:c r="AF13" s="26" t="n">
        <x:f>MAX(0,AE13-K13)</x:f>
        <x:v>0</x:v>
      </x:c>
      <x:c r="AG13" s="26" t="n">
        <x:f>AF13*F13</x:f>
        <x:v>0</x:v>
      </x:c>
      <x:c r="AH13" s="30" t="n">
        <x:f>IFERROR(INDEX('Routing'!$I$2:$I$25,MATCH(A13,'Routing'!$A$2:$A$25,0)),0)</x:f>
        <x:v>0.281214848143982</x:v>
      </x:c>
      <x:c r="AI13" s="7" t="str">
        <x:f>IF(AJ13="REVIEW","DATA REVIEW",IF(E13="Yes","STRATEGIC REVIEW",IF(T13&lt;=0,"IMMEDIATE REVIEW",IF(U13&lt;AD13,"PRICE / COST REVIEW",IF(AH13&gt;'Cost_Assumptions'!$B$12,"BATCH / MOQ REVIEW",IF(W13&lt;'Cost_Assumptions'!$B$11,"CAPACITY DRAG",IF(AND(U13&gt;=AD13+'Cost_Assumptions'!$B$14,W13&gt;='Cost_Assumptions'!$B$11),"PROTECT &amp; GROW","MONITOR")))))))</x:f>
        <x:v>MONITOR</x:v>
      </x:c>
      <x:c r="AJ13" s="7" t="str">
        <x:f>IF(OR(COUNTIF('BOM_Cost'!$A$2:$A$121,A13)=0,COUNTIF('Routing'!$A$2:$A$25,A13)=0,F13&lt;=0,K13&lt;=0,IFERROR(INDEX('Product_Master'!$N$2:$N$25,MATCH(A13,'Product_Master'!$A$2:$A$25,0)),"REVIEW")="REVIEW"),"REVIEW","OK")</x:f>
        <x:v>OK</x:v>
      </x:c>
      <x:c r="AK13" s="32" t="n">
        <x:f>IF(AI13="DATA REVIEW",8,IF(AI13="STRATEGIC REVIEW",7,IF(AI13="IMMEDIATE REVIEW",6,IF(AI13="PRICE / COST REVIEW",5,IF(AI13="CAPACITY DRAG",4,IF(AI13="BATCH / MOQ REVIEW",3,IF(AI13="PROTECT &amp; GROW",2,1)))))))+MIN(0.8,AG13/10000000)+MIN(0.1,ABS(MIN(T13,0))/10000000)+ROW()/100000000</x:f>
        <x:v>1.00000013</x:v>
      </x:c>
      <x:c r="AL13" s="91" t="n">
        <x:f>RANK(AK13,$AK$2:$AK$25,0)</x:f>
        <x:v>23</x:v>
      </x:c>
      <x:c r="AM13" s="91" t="n">
        <x:f>RANK(T13,$T$2:$T$25,0)</x:f>
        <x:v>6</x:v>
      </x:c>
      <x:c r="AN13" s="92" t="n">
        <x:f>RANK(AG13,$AG$2:$AG$25,0)</x:f>
        <x:v>12</x:v>
      </x:c>
    </x:row>
    <x:row r="14">
      <x:c r="A14" s="6" t="str">
        <x:v>FG-013</x:v>
      </x:c>
      <x:c r="B14" s="7" t="str">
        <x:f>IFERROR(INDEX('Product_Master'!$B$2:$B$25,MATCH(A14,'Product_Master'!$A$2:$A$25,0)),"")</x:f>
        <x:v>Prime White Product</x:v>
      </x:c>
      <x:c r="C14" s="7" t="str">
        <x:f>IFERROR(INDEX('Product_Master'!$C$2:$C$25,MATCH(A14,'Product_Master'!$A$2:$A$25,0)),"")</x:f>
        <x:v>Prime</x:v>
      </x:c>
      <x:c r="D14" s="7" t="str">
        <x:f>IFERROR(INDEX('Product_Master'!$D$2:$D$25,MATCH(A14,'Product_Master'!$A$2:$A$25,0)),"")</x:f>
        <x:v>Line 1</x:v>
      </x:c>
      <x:c r="E14" s="7" t="str">
        <x:f>IFERROR(INDEX('Product_Master'!$E$2:$E$25,MATCH(A14,'Product_Master'!$A$2:$A$25,0)),"No")</x:f>
        <x:v>No</x:v>
      </x:c>
      <x:c r="F14" s="24" t="n">
        <x:f>SUMIFS('Sales_Detail'!$E$2:$E$289,'Sales_Detail'!$D$2:$D$289,A14,'Sales_Detail'!$A$2:$A$289,"&gt;="&amp;'Cost_Assumptions'!$B$6,'Sales_Detail'!$A$2:$A$289,"&lt;="&amp;'Cost_Assumptions'!$B$7)</x:f>
        <x:v>1020</x:v>
      </x:c>
      <x:c r="G14" s="26" t="n">
        <x:f>SUMIFS('Sales_Detail'!$F$2:$F$289,'Sales_Detail'!$D$2:$D$289,A14,'Sales_Detail'!$A$2:$A$289,"&gt;="&amp;'Cost_Assumptions'!$B$6,'Sales_Detail'!$A$2:$A$289,"&lt;="&amp;'Cost_Assumptions'!$B$7)</x:f>
        <x:v>31809.553594200166</x:v>
      </x:c>
      <x:c r="H14" s="26" t="n">
        <x:f>SUMIFS('Sales_Detail'!$G$2:$G$289,'Sales_Detail'!$D$2:$D$289,A14,'Sales_Detail'!$A$2:$A$289,"&gt;="&amp;'Cost_Assumptions'!$B$6,'Sales_Detail'!$A$2:$A$289,"&lt;="&amp;'Cost_Assumptions'!$B$7)</x:f>
        <x:v>795.238839855004</x:v>
      </x:c>
      <x:c r="I14" s="26" t="n">
        <x:f>SUMIFS('Sales_Detail'!$H$2:$H$289,'Sales_Detail'!$D$2:$D$289,A14,'Sales_Detail'!$A$2:$A$289,"&gt;="&amp;'Cost_Assumptions'!$B$6,'Sales_Detail'!$A$2:$A$289,"&lt;="&amp;'Cost_Assumptions'!$B$7)</x:f>
        <x:v>256.89672087489913</x:v>
      </x:c>
      <x:c r="J14" s="26" t="n">
        <x:f>SUMIFS('Sales_Detail'!$I$2:$I$289,'Sales_Detail'!$D$2:$D$289,A14,'Sales_Detail'!$A$2:$A$289,"&gt;="&amp;'Cost_Assumptions'!$B$6,'Sales_Detail'!$A$2:$A$289,"&lt;="&amp;'Cost_Assumptions'!$B$7)</x:f>
        <x:v>30757.418033470258</x:v>
      </x:c>
      <x:c r="K14" s="26" t="n">
        <x:f>IF(F14=0,0,J14/F14)</x:f>
        <x:v>30.154331405363</x:v>
      </x:c>
      <x:c r="L14" s="26" t="n">
        <x:f>SUMIFS('Sales_Detail'!$J$2:$J$289,'Sales_Detail'!$D$2:$D$289,A14,'Sales_Detail'!$A$2:$A$289,"&gt;="&amp;'Cost_Assumptions'!$B$6,'Sales_Detail'!$A$2:$A$289,"&lt;="&amp;'Cost_Assumptions'!$B$7)</x:f>
        <x:v>4284.96</x:v>
      </x:c>
      <x:c r="M14" s="26" t="n">
        <x:f>SUMIFS('Sales_Detail'!$K$2:$K$289,'Sales_Detail'!$D$2:$D$289,A14,'Sales_Detail'!$A$2:$A$289,"&gt;="&amp;'Cost_Assumptions'!$B$6,'Sales_Detail'!$A$2:$A$289,"&lt;="&amp;'Cost_Assumptions'!$B$7)</x:f>
        <x:v>553.6335246024646</x:v>
      </x:c>
      <x:c r="N14" s="26" t="n">
        <x:f>SUMIFS('BOM_Cost'!$H$2:$H$121,'BOM_Cost'!$A$2:$A$121,A14)</x:f>
        <x:v>8.672373615200001</x:v>
      </x:c>
      <x:c r="O14" s="26" t="n">
        <x:f>IFERROR(INDEX('Routing'!$M$2:$M$25,MATCH(A14,'Routing'!$A$2:$A$25,0)),0)</x:f>
        <x:v>3.3666666666666667</x:v>
      </x:c>
      <x:c r="P14" s="26" t="n">
        <x:f>IFERROR(INDEX('Routing'!$N$2:$N$25,MATCH(A14,'Routing'!$A$2:$A$25,0)),0)</x:f>
        <x:v>2.6688888888888886</x:v>
      </x:c>
      <x:c r="Q14" s="26" t="n">
        <x:f>N14+O14+P14+IF(F14=0,0,(L14+M14)/F14)</x:f>
        <x:v>19.45164831252268</x:v>
      </x:c>
      <x:c r="R14" s="26" t="n">
        <x:f>F14*N14</x:f>
        <x:v>8845.821087504002</x:v>
      </x:c>
      <x:c r="S14" s="26" t="n">
        <x:f>F14*(O14+P14)</x:f>
        <x:v>6156.266666666667</x:v>
      </x:c>
      <x:c r="T14" s="26" t="n">
        <x:f>J14-L14-M14-R14-S14</x:f>
        <x:v>10916.736754697125</x:v>
      </x:c>
      <x:c r="U14" s="30" t="n">
        <x:f>IF(J14=0,0,T14/J14)</x:f>
        <x:v>0.35493020717205587</x:v>
      </x:c>
      <x:c r="V14" s="89" t="n">
        <x:f>F14*IFERROR(INDEX('Routing'!$P$2:$P$25,MATCH(A14,'Routing'!$A$2:$A$25,0)),0)</x:f>
        <x:v>129.20000000000002</x:v>
      </x:c>
      <x:c r="W14" s="26" t="n">
        <x:f>IF(V14=0,0,T14/V14)</x:f>
        <x:v>84.49486652242356</x:v>
      </x:c>
      <x:c r="X14" s="26" t="n">
        <x:f>F14*IFERROR(INDEX('Routing'!$R$2:$R$25,MATCH(A14,'Routing'!$A$2:$A$25,0)),0)</x:f>
        <x:v>6201.6</x:v>
      </x:c>
      <x:c r="Y14" s="26" t="n">
        <x:f>R14+F14*IFERROR(INDEX('Routing'!$S$2:$S$25,MATCH(A14,'Routing'!$A$2:$A$25,0)),0)+X14</x:f>
        <x:v>21203.68775417067</x:v>
      </x:c>
      <x:c r="Z14" s="26" t="n">
        <x:f>J14-Y14</x:f>
        <x:v>9553.730279299587</x:v>
      </x:c>
      <x:c r="AA14" s="30" t="n">
        <x:f>IF(J14=0,0,Z14/J14)</x:f>
        <x:v>0.3106154836827723</x:v>
      </x:c>
      <x:c r="AB14" s="26" t="n">
        <x:f>T14-X14</x:f>
        <x:v>4715.136754697125</x:v>
      </x:c>
      <x:c r="AC14" s="30" t="n">
        <x:f>IF(J14=0,0,AB14/J14)</x:f>
        <x:v>0.15330079883708406</x:v>
      </x:c>
      <x:c r="AD14" s="30" t="n">
        <x:f>IFERROR(IF(AND(INDEX('Product_Master'!$G$2:$G$25,MATCH(A14,'Product_Master'!$A$2:$A$25,0))&gt;0,INDEX('Product_Master'!$G$2:$G$25,MATCH(A14,'Product_Master'!$A$2:$A$25,0))&lt;1),INDEX('Product_Master'!$G$2:$G$25,MATCH(A14,'Product_Master'!$A$2:$A$25,0)),'Cost_Assumptions'!$B$13),'Cost_Assumptions'!$B$13)</x:f>
        <x:v>0.3</x:v>
      </x:c>
      <x:c r="AE14" s="26" t="n">
        <x:f>IF(OR(F14=0,J14=0,(1-AD14-M14/J14)&lt;=0),0,(Q14-M14/F14)/(1-AD14-M14/J14))</x:f>
        <x:v>27.725616344906374</x:v>
      </x:c>
      <x:c r="AF14" s="26" t="n">
        <x:f>MAX(0,AE14-K14)</x:f>
        <x:v>0</x:v>
      </x:c>
      <x:c r="AG14" s="26" t="n">
        <x:f>AF14*F14</x:f>
        <x:v>0</x:v>
      </x:c>
      <x:c r="AH14" s="30" t="n">
        <x:f>IFERROR(INDEX('Routing'!$I$2:$I$25,MATCH(A14,'Routing'!$A$2:$A$25,0)),0)</x:f>
        <x:v>0.5263157894736842</x:v>
      </x:c>
      <x:c r="AI14" s="7" t="str">
        <x:f>IF(AJ14="REVIEW","DATA REVIEW",IF(E14="Yes","STRATEGIC REVIEW",IF(T14&lt;=0,"IMMEDIATE REVIEW",IF(U14&lt;AD14,"PRICE / COST REVIEW",IF(AH14&gt;'Cost_Assumptions'!$B$12,"BATCH / MOQ REVIEW",IF(W14&lt;'Cost_Assumptions'!$B$11,"CAPACITY DRAG",IF(AND(U14&gt;=AD14+'Cost_Assumptions'!$B$14,W14&gt;='Cost_Assumptions'!$B$11),"PROTECT &amp; GROW","MONITOR")))))))</x:f>
        <x:v>BATCH / MOQ REVIEW</x:v>
      </x:c>
      <x:c r="AJ14" s="7" t="str">
        <x:f>IF(OR(COUNTIF('BOM_Cost'!$A$2:$A$121,A14)=0,COUNTIF('Routing'!$A$2:$A$25,A14)=0,F14&lt;=0,K14&lt;=0,IFERROR(INDEX('Product_Master'!$N$2:$N$25,MATCH(A14,'Product_Master'!$A$2:$A$25,0)),"REVIEW")="REVIEW"),"REVIEW","OK")</x:f>
        <x:v>OK</x:v>
      </x:c>
      <x:c r="AK14" s="32" t="n">
        <x:f>IF(AI14="DATA REVIEW",8,IF(AI14="STRATEGIC REVIEW",7,IF(AI14="IMMEDIATE REVIEW",6,IF(AI14="PRICE / COST REVIEW",5,IF(AI14="CAPACITY DRAG",4,IF(AI14="BATCH / MOQ REVIEW",3,IF(AI14="PROTECT &amp; GROW",2,1)))))))+MIN(0.8,AG14/10000000)+MIN(0.1,ABS(MIN(T14,0))/10000000)+ROW()/100000000</x:f>
        <x:v>3.00000014</x:v>
      </x:c>
      <x:c r="AL14" s="91" t="n">
        <x:f>RANK(AK14,$AK$2:$AK$25,0)</x:f>
        <x:v>16</x:v>
      </x:c>
      <x:c r="AM14" s="91" t="n">
        <x:f>RANK(T14,$T$2:$T$25,0)</x:f>
        <x:v>15</x:v>
      </x:c>
      <x:c r="AN14" s="92" t="n">
        <x:f>RANK(AG14,$AG$2:$AG$25,0)</x:f>
        <x:v>12</x:v>
      </x:c>
    </x:row>
    <x:row r="15">
      <x:c r="A15" s="6" t="str">
        <x:v>FG-014</x:v>
      </x:c>
      <x:c r="B15" s="7" t="str">
        <x:f>IFERROR(INDEX('Product_Master'!$B$2:$B$25,MATCH(A15,'Product_Master'!$A$2:$A$25,0)),"")</x:f>
        <x:v>Prime Black Product</x:v>
      </x:c>
      <x:c r="C15" s="7" t="str">
        <x:f>IFERROR(INDEX('Product_Master'!$C$2:$C$25,MATCH(A15,'Product_Master'!$A$2:$A$25,0)),"")</x:f>
        <x:v>Prime</x:v>
      </x:c>
      <x:c r="D15" s="7" t="str">
        <x:f>IFERROR(INDEX('Product_Master'!$D$2:$D$25,MATCH(A15,'Product_Master'!$A$2:$A$25,0)),"")</x:f>
        <x:v>Line 1</x:v>
      </x:c>
      <x:c r="E15" s="7" t="str">
        <x:f>IFERROR(INDEX('Product_Master'!$E$2:$E$25,MATCH(A15,'Product_Master'!$A$2:$A$25,0)),"No")</x:f>
        <x:v>No</x:v>
      </x:c>
      <x:c r="F15" s="24" t="n">
        <x:f>SUMIFS('Sales_Detail'!$E$2:$E$289,'Sales_Detail'!$D$2:$D$289,A15,'Sales_Detail'!$A$2:$A$289,"&gt;="&amp;'Cost_Assumptions'!$B$6,'Sales_Detail'!$A$2:$A$289,"&lt;="&amp;'Cost_Assumptions'!$B$7)</x:f>
        <x:v>3440</x:v>
      </x:c>
      <x:c r="G15" s="26" t="n">
        <x:f>SUMIFS('Sales_Detail'!$F$2:$F$289,'Sales_Detail'!$D$2:$D$289,A15,'Sales_Detail'!$A$2:$A$289,"&gt;="&amp;'Cost_Assumptions'!$B$6,'Sales_Detail'!$A$2:$A$289,"&lt;="&amp;'Cost_Assumptions'!$B$7)</x:f>
        <x:v>68608.06042928052</x:v>
      </x:c>
      <x:c r="H15" s="26" t="n">
        <x:f>SUMIFS('Sales_Detail'!$G$2:$G$289,'Sales_Detail'!$D$2:$D$289,A15,'Sales_Detail'!$A$2:$A$289,"&gt;="&amp;'Cost_Assumptions'!$B$6,'Sales_Detail'!$A$2:$A$289,"&lt;="&amp;'Cost_Assumptions'!$B$7)</x:f>
        <x:v>2126.8498733076963</x:v>
      </x:c>
      <x:c r="I15" s="26" t="n">
        <x:f>SUMIFS('Sales_Detail'!$H$2:$H$289,'Sales_Detail'!$D$2:$D$289,A15,'Sales_Detail'!$A$2:$A$289,"&gt;="&amp;'Cost_Assumptions'!$B$6,'Sales_Detail'!$A$2:$A$289,"&lt;="&amp;'Cost_Assumptions'!$B$7)</x:f>
        <x:v>195.81730056860852</x:v>
      </x:c>
      <x:c r="J15" s="26" t="n">
        <x:f>SUMIFS('Sales_Detail'!$I$2:$I$289,'Sales_Detail'!$D$2:$D$289,A15,'Sales_Detail'!$A$2:$A$289,"&gt;="&amp;'Cost_Assumptions'!$B$6,'Sales_Detail'!$A$2:$A$289,"&lt;="&amp;'Cost_Assumptions'!$B$7)</x:f>
        <x:v>66285.39325540421</x:v>
      </x:c>
      <x:c r="K15" s="26" t="n">
        <x:f>IF(F15=0,0,J15/F15)</x:f>
        <x:v>19.269009667268666</x:v>
      </x:c>
      <x:c r="L15" s="26" t="n">
        <x:f>SUMIFS('Sales_Detail'!$J$2:$J$289,'Sales_Detail'!$D$2:$D$289,A15,'Sales_Detail'!$A$2:$A$289,"&gt;="&amp;'Cost_Assumptions'!$B$6,'Sales_Detail'!$A$2:$A$289,"&lt;="&amp;'Cost_Assumptions'!$B$7)</x:f>
        <x:v>18292.8</x:v>
      </x:c>
      <x:c r="M15" s="26" t="n">
        <x:f>SUMIFS('Sales_Detail'!$K$2:$K$289,'Sales_Detail'!$D$2:$D$289,A15,'Sales_Detail'!$A$2:$A$289,"&gt;="&amp;'Cost_Assumptions'!$B$6,'Sales_Detail'!$A$2:$A$289,"&lt;="&amp;'Cost_Assumptions'!$B$7)</x:f>
        <x:v>1458.278651618893</x:v>
      </x:c>
      <x:c r="N15" s="26" t="n">
        <x:f>SUMIFS('BOM_Cost'!$H$2:$H$121,'BOM_Cost'!$A$2:$A$121,A15)</x:f>
        <x:v>8.900627814000002</x:v>
      </x:c>
      <x:c r="O15" s="26" t="n">
        <x:f>IFERROR(INDEX('Routing'!$M$2:$M$25,MATCH(A15,'Routing'!$A$2:$A$25,0)),0)</x:f>
        <x:v>0.33666666666666667</x:v>
      </x:c>
      <x:c r="P15" s="26" t="n">
        <x:f>IFERROR(INDEX('Routing'!$N$2:$N$25,MATCH(A15,'Routing'!$A$2:$A$25,0)),0)</x:f>
        <x:v>1.0442833333333332</x:v>
      </x:c>
      <x:c r="Q15" s="26" t="n">
        <x:f>N15+O15+P15+IF(F15=0,0,(L15+M15)/F15)</x:f>
        <x:v>16.023170445284563</x:v>
      </x:c>
      <x:c r="R15" s="26" t="n">
        <x:f>F15*N15</x:f>
        <x:v>30618.159680160006</x:v>
      </x:c>
      <x:c r="S15" s="26" t="n">
        <x:f>F15*(O15+P15)</x:f>
        <x:v>4750.468</x:v>
      </x:c>
      <x:c r="T15" s="26" t="n">
        <x:f>J15-L15-M15-R15-S15</x:f>
        <x:v>11165.686923625308</x:v>
      </x:c>
      <x:c r="U15" s="30" t="n">
        <x:f>IF(J15=0,0,T15/J15)</x:f>
        <x:v>0.16844867889072945</x:v>
      </x:c>
      <x:c r="V15" s="89" t="n">
        <x:f>F15*IFERROR(INDEX('Routing'!$P$2:$P$25,MATCH(A15,'Routing'!$A$2:$A$25,0)),0)</x:f>
        <x:v>115.46933333333331</x:v>
      </x:c>
      <x:c r="W15" s="26" t="n">
        <x:f>IF(V15=0,0,T15/V15)</x:f>
        <x:v>96.69828863904971</x:v>
      </x:c>
      <x:c r="X15" s="26" t="n">
        <x:f>F15*IFERROR(INDEX('Routing'!$R$2:$R$25,MATCH(A15,'Routing'!$A$2:$A$25,0)),0)</x:f>
        <x:v>5542.527999999999</x:v>
      </x:c>
      <x:c r="Y15" s="26" t="n">
        <x:f>R15+F15*IFERROR(INDEX('Routing'!$S$2:$S$25,MATCH(A15,'Routing'!$A$2:$A$25,0)),0)+X15</x:f>
        <x:v>40911.15568016</x:v>
      </x:c>
      <x:c r="Z15" s="26" t="n">
        <x:f>J15-Y15</x:f>
        <x:v>25374.23757524421</x:v>
      </x:c>
      <x:c r="AA15" s="30" t="n">
        <x:f>IF(J15=0,0,Z15/J15)</x:f>
        <x:v>0.38280285186624374</x:v>
      </x:c>
      <x:c r="AB15" s="26" t="n">
        <x:f>T15-X15</x:f>
        <x:v>5623.1589236253085</x:v>
      </x:c>
      <x:c r="AC15" s="30" t="n">
        <x:f>IF(J15=0,0,AB15/J15)</x:f>
        <x:v>0.08483254978904203</x:v>
      </x:c>
      <x:c r="AD15" s="30" t="n">
        <x:f>IFERROR(IF(AND(INDEX('Product_Master'!$G$2:$G$25,MATCH(A15,'Product_Master'!$A$2:$A$25,0))&gt;0,INDEX('Product_Master'!$G$2:$G$25,MATCH(A15,'Product_Master'!$A$2:$A$25,0))&lt;1),INDEX('Product_Master'!$G$2:$G$25,MATCH(A15,'Product_Master'!$A$2:$A$25,0)),'Cost_Assumptions'!$B$13),'Cost_Assumptions'!$B$13)</x:f>
        <x:v>0.315</x:v>
      </x:c>
      <x:c r="AE15" s="26" t="n">
        <x:f>IF(OR(F15=0,J15=0,(1-AD15-M15/J15)&lt;=0),0,(Q15-M15/F15)/(1-AD15-M15/J15))</x:f>
        <x:v>23.528283910414256</x:v>
      </x:c>
      <x:c r="AF15" s="26" t="n">
        <x:f>MAX(0,AE15-K15)</x:f>
        <x:v>4.25927424314559</x:v>
      </x:c>
      <x:c r="AG15" s="26" t="n">
        <x:f>AF15*F15</x:f>
        <x:v>14651.90339642083</x:v>
      </x:c>
      <x:c r="AH15" s="30" t="n">
        <x:f>IFERROR(INDEX('Routing'!$I$2:$I$25,MATCH(A15,'Routing'!$A$2:$A$25,0)),0)</x:f>
        <x:v>0.19860973187686198</x:v>
      </x:c>
      <x:c r="AI15" s="7" t="str">
        <x:f>IF(AJ15="REVIEW","DATA REVIEW",IF(E15="Yes","STRATEGIC REVIEW",IF(T15&lt;=0,"IMMEDIATE REVIEW",IF(U15&lt;AD15,"PRICE / COST REVIEW",IF(AH15&gt;'Cost_Assumptions'!$B$12,"BATCH / MOQ REVIEW",IF(W15&lt;'Cost_Assumptions'!$B$11,"CAPACITY DRAG",IF(AND(U15&gt;=AD15+'Cost_Assumptions'!$B$14,W15&gt;='Cost_Assumptions'!$B$11),"PROTECT &amp; GROW","MONITOR")))))))</x:f>
        <x:v>PRICE / COST REVIEW</x:v>
      </x:c>
      <x:c r="AJ15" s="7" t="str">
        <x:f>IF(OR(COUNTIF('BOM_Cost'!$A$2:$A$121,A15)=0,COUNTIF('Routing'!$A$2:$A$25,A15)=0,F15&lt;=0,K15&lt;=0,IFERROR(INDEX('Product_Master'!$N$2:$N$25,MATCH(A15,'Product_Master'!$A$2:$A$25,0)),"REVIEW")="REVIEW"),"REVIEW","OK")</x:f>
        <x:v>OK</x:v>
      </x:c>
      <x:c r="AK15" s="32" t="n">
        <x:f>IF(AI15="DATA REVIEW",8,IF(AI15="STRATEGIC REVIEW",7,IF(AI15="IMMEDIATE REVIEW",6,IF(AI15="PRICE / COST REVIEW",5,IF(AI15="CAPACITY DRAG",4,IF(AI15="BATCH / MOQ REVIEW",3,IF(AI15="PROTECT &amp; GROW",2,1)))))))+MIN(0.8,AG15/10000000)+MIN(0.1,ABS(MIN(T15,0))/10000000)+ROW()/100000000</x:f>
        <x:v>5.001465340339642</x:v>
      </x:c>
      <x:c r="AL15" s="91" t="n">
        <x:f>RANK(AK15,$AK$2:$AK$25,0)</x:f>
        <x:v>8</x:v>
      </x:c>
      <x:c r="AM15" s="91" t="n">
        <x:f>RANK(T15,$T$2:$T$25,0)</x:f>
        <x:v>14</x:v>
      </x:c>
      <x:c r="AN15" s="92" t="n">
        <x:f>RANK(AG15,$AG$2:$AG$25,0)</x:f>
        <x:v>4</x:v>
      </x:c>
    </x:row>
    <x:row r="16">
      <x:c r="A16" s="6" t="str">
        <x:v>FG-015</x:v>
      </x:c>
      <x:c r="B16" s="7" t="str">
        <x:f>IFERROR(INDEX('Product_Master'!$B$2:$B$25,MATCH(A16,'Product_Master'!$A$2:$A$25,0)),"")</x:f>
        <x:v>Prime Tan Product</x:v>
      </x:c>
      <x:c r="C16" s="7" t="str">
        <x:f>IFERROR(INDEX('Product_Master'!$C$2:$C$25,MATCH(A16,'Product_Master'!$A$2:$A$25,0)),"")</x:f>
        <x:v>Prime</x:v>
      </x:c>
      <x:c r="D16" s="7" t="str">
        <x:f>IFERROR(INDEX('Product_Master'!$D$2:$D$25,MATCH(A16,'Product_Master'!$A$2:$A$25,0)),"")</x:f>
        <x:v>Line 1</x:v>
      </x:c>
      <x:c r="E16" s="7" t="str">
        <x:f>IFERROR(INDEX('Product_Master'!$E$2:$E$25,MATCH(A16,'Product_Master'!$A$2:$A$25,0)),"No")</x:f>
        <x:v>Yes</x:v>
      </x:c>
      <x:c r="F16" s="24" t="n">
        <x:f>SUMIFS('Sales_Detail'!$E$2:$E$289,'Sales_Detail'!$D$2:$D$289,A16,'Sales_Detail'!$A$2:$A$289,"&gt;="&amp;'Cost_Assumptions'!$B$6,'Sales_Detail'!$A$2:$A$289,"&lt;="&amp;'Cost_Assumptions'!$B$7)</x:f>
        <x:v>1760</x:v>
      </x:c>
      <x:c r="G16" s="26" t="n">
        <x:f>SUMIFS('Sales_Detail'!$F$2:$F$289,'Sales_Detail'!$D$2:$D$289,A16,'Sales_Detail'!$A$2:$A$289,"&gt;="&amp;'Cost_Assumptions'!$B$6,'Sales_Detail'!$A$2:$A$289,"&lt;="&amp;'Cost_Assumptions'!$B$7)</x:f>
        <x:v>41842.62602599413</x:v>
      </x:c>
      <x:c r="H16" s="26" t="n">
        <x:f>SUMIFS('Sales_Detail'!$G$2:$G$289,'Sales_Detail'!$D$2:$D$289,A16,'Sales_Detail'!$A$2:$A$289,"&gt;="&amp;'Cost_Assumptions'!$B$6,'Sales_Detail'!$A$2:$A$289,"&lt;="&amp;'Cost_Assumptions'!$B$7)</x:f>
        <x:v>1548.177162961783</x:v>
      </x:c>
      <x:c r="I16" s="26" t="n">
        <x:f>SUMIFS('Sales_Detail'!$H$2:$H$289,'Sales_Detail'!$D$2:$D$289,A16,'Sales_Detail'!$A$2:$A$289,"&gt;="&amp;'Cost_Assumptions'!$B$6,'Sales_Detail'!$A$2:$A$289,"&lt;="&amp;'Cost_Assumptions'!$B$7)</x:f>
        <x:v>113.17968805493713</x:v>
      </x:c>
      <x:c r="J16" s="26" t="n">
        <x:f>SUMIFS('Sales_Detail'!$I$2:$I$289,'Sales_Detail'!$D$2:$D$289,A16,'Sales_Detail'!$A$2:$A$289,"&gt;="&amp;'Cost_Assumptions'!$B$6,'Sales_Detail'!$A$2:$A$289,"&lt;="&amp;'Cost_Assumptions'!$B$7)</x:f>
        <x:v>40181.26917497741</x:v>
      </x:c>
      <x:c r="K16" s="26" t="n">
        <x:f>IF(F16=0,0,J16/F16)</x:f>
        <x:v>22.83026657669171</x:v>
      </x:c>
      <x:c r="L16" s="26" t="n">
        <x:f>SUMIFS('Sales_Detail'!$J$2:$J$289,'Sales_Detail'!$D$2:$D$289,A16,'Sales_Detail'!$A$2:$A$289,"&gt;="&amp;'Cost_Assumptions'!$B$6,'Sales_Detail'!$A$2:$A$289,"&lt;="&amp;'Cost_Assumptions'!$B$7)</x:f>
        <x:v>10493.18</x:v>
      </x:c>
      <x:c r="M16" s="26" t="n">
        <x:f>SUMIFS('Sales_Detail'!$K$2:$K$289,'Sales_Detail'!$D$2:$D$289,A16,'Sales_Detail'!$A$2:$A$289,"&gt;="&amp;'Cost_Assumptions'!$B$6,'Sales_Detail'!$A$2:$A$289,"&lt;="&amp;'Cost_Assumptions'!$B$7)</x:f>
        <x:v>1044.7129985494125</x:v>
      </x:c>
      <x:c r="N16" s="26" t="n">
        <x:f>SUMIFS('BOM_Cost'!$H$2:$H$121,'BOM_Cost'!$A$2:$A$121,A16)</x:f>
        <x:v>9.969397729599999</x:v>
      </x:c>
      <x:c r="O16" s="26" t="n">
        <x:f>IFERROR(INDEX('Routing'!$M$2:$M$25,MATCH(A16,'Routing'!$A$2:$A$25,0)),0)</x:f>
        <x:v>0.3506944444444444</x:v>
      </x:c>
      <x:c r="P16" s="26" t="n">
        <x:f>IFERROR(INDEX('Routing'!$N$2:$N$25,MATCH(A16,'Routing'!$A$2:$A$25,0)),0)</x:f>
        <x:v>1.0042916666666666</x:v>
      </x:c>
      <x:c r="Q16" s="26" t="n">
        <x:f>N16+O16+P16+IF(F16=0,0,(L16+M16)/F16)</x:f>
        <x:v>17.880004862614186</x:v>
      </x:c>
      <x:c r="R16" s="26" t="n">
        <x:f>F16*N16</x:f>
        <x:v>17546.140004096</x:v>
      </x:c>
      <x:c r="S16" s="26" t="n">
        <x:f>F16*(O16+P16)</x:f>
        <x:v>2384.7755555555555</x:v>
      </x:c>
      <x:c r="T16" s="26" t="n">
        <x:f>J16-L16-M16-R16-S16</x:f>
        <x:v>8712.46061677644</x:v>
      </x:c>
      <x:c r="U16" s="30" t="n">
        <x:f>IF(J16=0,0,T16/J16)</x:f>
        <x:v>0.21682890549913392</x:v>
      </x:c>
      <x:c r="V16" s="89" t="n">
        <x:f>F16*IFERROR(INDEX('Routing'!$P$2:$P$25,MATCH(A16,'Routing'!$A$2:$A$25,0)),0)</x:f>
        <x:v>56.66222222222222</x:v>
      </x:c>
      <x:c r="W16" s="26" t="n">
        <x:f>IF(V16=0,0,T16/V16)</x:f>
        <x:v>153.76136471681693</x:v>
      </x:c>
      <x:c r="X16" s="26" t="n">
        <x:f>F16*IFERROR(INDEX('Routing'!$R$2:$R$25,MATCH(A16,'Routing'!$A$2:$A$25,0)),0)</x:f>
        <x:v>2719.7866666666664</x:v>
      </x:c>
      <x:c r="Y16" s="26" t="n">
        <x:f>R16+F16*IFERROR(INDEX('Routing'!$S$2:$S$25,MATCH(A16,'Routing'!$A$2:$A$25,0)),0)+X16</x:f>
        <x:v>22650.702226318223</x:v>
      </x:c>
      <x:c r="Z16" s="26" t="n">
        <x:f>J16-Y16</x:f>
        <x:v>17530.566948659187</x:v>
      </x:c>
      <x:c r="AA16" s="30" t="n">
        <x:f>IF(J16=0,0,Z16/J16)</x:f>
        <x:v>0.4362870389264911</x:v>
      </x:c>
      <x:c r="AB16" s="26" t="n">
        <x:f>T16-X16</x:f>
        <x:v>5992.673950109773</x:v>
      </x:c>
      <x:c r="AC16" s="30" t="n">
        <x:f>IF(J16=0,0,AB16/J16)</x:f>
        <x:v>0.14914098218285415</x:v>
      </x:c>
      <x:c r="AD16" s="30" t="n">
        <x:f>IFERROR(IF(AND(INDEX('Product_Master'!$G$2:$G$25,MATCH(A16,'Product_Master'!$A$2:$A$25,0))&gt;0,INDEX('Product_Master'!$G$2:$G$25,MATCH(A16,'Product_Master'!$A$2:$A$25,0))&lt;1),INDEX('Product_Master'!$G$2:$G$25,MATCH(A16,'Product_Master'!$A$2:$A$25,0)),'Cost_Assumptions'!$B$13),'Cost_Assumptions'!$B$13)</x:f>
        <x:v>0.32999999999999996</x:v>
      </x:c>
      <x:c r="AE16" s="26" t="n">
        <x:f>IF(OR(F16=0,J16=0,(1-AD16-M16/J16)&lt;=0),0,(Q16-M16/F16)/(1-AD16-M16/J16))</x:f>
        <x:v>26.842263868975465</x:v>
      </x:c>
      <x:c r="AF16" s="26" t="n">
        <x:f>MAX(0,AE16-K16)</x:f>
        <x:v>4.0119972922837555</x:v>
      </x:c>
      <x:c r="AG16" s="26" t="n">
        <x:f>AF16*F16</x:f>
        <x:v>7061.11523441941</x:v>
      </x:c>
      <x:c r="AH16" s="30" t="n">
        <x:f>IFERROR(INDEX('Routing'!$I$2:$I$25,MATCH(A16,'Routing'!$A$2:$A$25,0)),0)</x:f>
        <x:v>0.21570319240724764</x:v>
      </x:c>
      <x:c r="AI16" s="7" t="str">
        <x:f>IF(AJ16="REVIEW","DATA REVIEW",IF(E16="Yes","STRATEGIC REVIEW",IF(T16&lt;=0,"IMMEDIATE REVIEW",IF(U16&lt;AD16,"PRICE / COST REVIEW",IF(AH16&gt;'Cost_Assumptions'!$B$12,"BATCH / MOQ REVIEW",IF(W16&lt;'Cost_Assumptions'!$B$11,"CAPACITY DRAG",IF(AND(U16&gt;=AD16+'Cost_Assumptions'!$B$14,W16&gt;='Cost_Assumptions'!$B$11),"PROTECT &amp; GROW","MONITOR")))))))</x:f>
        <x:v>STRATEGIC REVIEW</x:v>
      </x:c>
      <x:c r="AJ16" s="7" t="str">
        <x:f>IF(OR(COUNTIF('BOM_Cost'!$A$2:$A$121,A16)=0,COUNTIF('Routing'!$A$2:$A$25,A16)=0,F16&lt;=0,K16&lt;=0,IFERROR(INDEX('Product_Master'!$N$2:$N$25,MATCH(A16,'Product_Master'!$A$2:$A$25,0)),"REVIEW")="REVIEW"),"REVIEW","OK")</x:f>
        <x:v>OK</x:v>
      </x:c>
      <x:c r="AK16" s="32" t="n">
        <x:f>IF(AI16="DATA REVIEW",8,IF(AI16="STRATEGIC REVIEW",7,IF(AI16="IMMEDIATE REVIEW",6,IF(AI16="PRICE / COST REVIEW",5,IF(AI16="CAPACITY DRAG",4,IF(AI16="BATCH / MOQ REVIEW",3,IF(AI16="PROTECT &amp; GROW",2,1)))))))+MIN(0.8,AG16/10000000)+MIN(0.1,ABS(MIN(T16,0))/10000000)+ROW()/100000000</x:f>
        <x:v>7.000706271523442</x:v>
      </x:c>
      <x:c r="AL16" s="91" t="n">
        <x:f>RANK(AK16,$AK$2:$AK$25,0)</x:f>
        <x:v>2</x:v>
      </x:c>
      <x:c r="AM16" s="91" t="n">
        <x:f>RANK(T16,$T$2:$T$25,0)</x:f>
        <x:v>20</x:v>
      </x:c>
      <x:c r="AN16" s="92" t="n">
        <x:f>RANK(AG16,$AG$2:$AG$25,0)</x:f>
        <x:v>10</x:v>
      </x:c>
    </x:row>
    <x:row r="17">
      <x:c r="A17" s="6" t="str">
        <x:v>FG-016</x:v>
      </x:c>
      <x:c r="B17" s="7" t="str">
        <x:f>IFERROR(INDEX('Product_Master'!$B$2:$B$25,MATCH(A17,'Product_Master'!$A$2:$A$25,0)),"")</x:f>
        <x:v>Prime Blue Product</x:v>
      </x:c>
      <x:c r="C17" s="7" t="str">
        <x:f>IFERROR(INDEX('Product_Master'!$C$2:$C$25,MATCH(A17,'Product_Master'!$A$2:$A$25,0)),"")</x:f>
        <x:v>Prime</x:v>
      </x:c>
      <x:c r="D17" s="7" t="str">
        <x:f>IFERROR(INDEX('Product_Master'!$D$2:$D$25,MATCH(A17,'Product_Master'!$A$2:$A$25,0)),"")</x:f>
        <x:v>Line 1</x:v>
      </x:c>
      <x:c r="E17" s="7" t="str">
        <x:f>IFERROR(INDEX('Product_Master'!$E$2:$E$25,MATCH(A17,'Product_Master'!$A$2:$A$25,0)),"No")</x:f>
        <x:v>No</x:v>
      </x:c>
      <x:c r="F17" s="24" t="n">
        <x:f>SUMIFS('Sales_Detail'!$E$2:$E$289,'Sales_Detail'!$D$2:$D$289,A17,'Sales_Detail'!$A$2:$A$289,"&gt;="&amp;'Cost_Assumptions'!$B$6,'Sales_Detail'!$A$2:$A$289,"&lt;="&amp;'Cost_Assumptions'!$B$7)</x:f>
        <x:v>1310</x:v>
      </x:c>
      <x:c r="G17" s="26" t="n">
        <x:f>SUMIFS('Sales_Detail'!$F$2:$F$289,'Sales_Detail'!$D$2:$D$289,A17,'Sales_Detail'!$A$2:$A$289,"&gt;="&amp;'Cost_Assumptions'!$B$6,'Sales_Detail'!$A$2:$A$289,"&lt;="&amp;'Cost_Assumptions'!$B$7)</x:f>
        <x:v>39231.11149311515</x:v>
      </x:c>
      <x:c r="H17" s="26" t="n">
        <x:f>SUMIFS('Sales_Detail'!$G$2:$G$289,'Sales_Detail'!$D$2:$D$289,A17,'Sales_Detail'!$A$2:$A$289,"&gt;="&amp;'Cost_Assumptions'!$B$6,'Sales_Detail'!$A$2:$A$289,"&lt;="&amp;'Cost_Assumptions'!$B$7)</x:f>
        <x:v>1686.9377942039516</x:v>
      </x:c>
      <x:c r="I17" s="26" t="n">
        <x:f>SUMIFS('Sales_Detail'!$H$2:$H$289,'Sales_Detail'!$D$2:$D$289,A17,'Sales_Detail'!$A$2:$A$289,"&gt;="&amp;'Cost_Assumptions'!$B$6,'Sales_Detail'!$A$2:$A$289,"&lt;="&amp;'Cost_Assumptions'!$B$7)</x:f>
        <x:v>110.99521583236192</x:v>
      </x:c>
      <x:c r="J17" s="26" t="n">
        <x:f>SUMIFS('Sales_Detail'!$I$2:$I$289,'Sales_Detail'!$D$2:$D$289,A17,'Sales_Detail'!$A$2:$A$289,"&gt;="&amp;'Cost_Assumptions'!$B$6,'Sales_Detail'!$A$2:$A$289,"&lt;="&amp;'Cost_Assumptions'!$B$7)</x:f>
        <x:v>37433.17848307884</x:v>
      </x:c>
      <x:c r="K17" s="26" t="n">
        <x:f>IF(F17=0,0,J17/F17)</x:f>
        <x:v>28.57494540693041</x:v>
      </x:c>
      <x:c r="L17" s="26" t="n">
        <x:f>SUMIFS('Sales_Detail'!$J$2:$J$289,'Sales_Detail'!$D$2:$D$289,A17,'Sales_Detail'!$A$2:$A$289,"&gt;="&amp;'Cost_Assumptions'!$B$6,'Sales_Detail'!$A$2:$A$289,"&lt;="&amp;'Cost_Assumptions'!$B$7)</x:f>
        <x:v>5476.875</x:v>
      </x:c>
      <x:c r="M17" s="26" t="n">
        <x:f>SUMIFS('Sales_Detail'!$K$2:$K$289,'Sales_Detail'!$D$2:$D$289,A17,'Sales_Detail'!$A$2:$A$289,"&gt;="&amp;'Cost_Assumptions'!$B$6,'Sales_Detail'!$A$2:$A$289,"&lt;="&amp;'Cost_Assumptions'!$B$7)</x:f>
        <x:v>673.797212695419</x:v>
      </x:c>
      <x:c r="N17" s="26" t="n">
        <x:f>SUMIFS('BOM_Cost'!$H$2:$H$121,'BOM_Cost'!$A$2:$A$121,A17)</x:f>
        <x:v>9.5019666688</x:v>
      </x:c>
      <x:c r="O17" s="26" t="n">
        <x:f>IFERROR(INDEX('Routing'!$M$2:$M$25,MATCH(A17,'Routing'!$A$2:$A$25,0)),0)</x:f>
        <x:v>0.48095238095238096</x:v>
      </x:c>
      <x:c r="P17" s="26" t="n">
        <x:f>IFERROR(INDEX('Routing'!$N$2:$N$25,MATCH(A17,'Routing'!$A$2:$A$25,0)),0)</x:f>
        <x:v>3.7095238095238097</x:v>
      </x:c>
      <x:c r="Q17" s="26" t="n">
        <x:f>N17+O17+P17+IF(F17=0,0,(L17+M17)/F17)</x:f>
        <x:v>18.38761248728796</x:v>
      </x:c>
      <x:c r="R17" s="26" t="n">
        <x:f>F17*N17</x:f>
        <x:v>12447.576336128</x:v>
      </x:c>
      <x:c r="S17" s="26" t="n">
        <x:f>F17*(O17+P17)</x:f>
        <x:v>5489.52380952381</x:v>
      </x:c>
      <x:c r="T17" s="26" t="n">
        <x:f>J17-L17-M17-R17-S17</x:f>
        <x:v>13345.40612473161</x:v>
      </x:c>
      <x:c r="U17" s="30" t="n">
        <x:f>IF(J17=0,0,T17/J17)</x:f>
        <x:v>0.356512769300748</x:v>
      </x:c>
      <x:c r="V17" s="89" t="n">
        <x:f>F17*IFERROR(INDEX('Routing'!$P$2:$P$25,MATCH(A17,'Routing'!$A$2:$A$25,0)),0)</x:f>
        <x:v>124.76190476190476</x:v>
      </x:c>
      <x:c r="W17" s="26" t="n">
        <x:f>IF(V17=0,0,T17/V17)</x:f>
        <x:v>106.96699565624573</x:v>
      </x:c>
      <x:c r="X17" s="26" t="n">
        <x:f>F17*IFERROR(INDEX('Routing'!$R$2:$R$25,MATCH(A17,'Routing'!$A$2:$A$25,0)),0)</x:f>
        <x:v>5988.571428571428</x:v>
      </x:c>
      <x:c r="Y17" s="26" t="n">
        <x:f>R17+F17*IFERROR(INDEX('Routing'!$S$2:$S$25,MATCH(A17,'Routing'!$A$2:$A$25,0)),0)+X17</x:f>
        <x:v>23925.671574223237</x:v>
      </x:c>
      <x:c r="Z17" s="26" t="n">
        <x:f>J17-Y17</x:f>
        <x:v>13507.506908855601</x:v>
      </x:c>
      <x:c r="AA17" s="30" t="n">
        <x:f>IF(J17=0,0,Z17/J17)</x:f>
        <x:v>0.36084317325501725</x:v>
      </x:c>
      <x:c r="AB17" s="26" t="n">
        <x:f>T17-X17</x:f>
        <x:v>7356.834696160181</x:v>
      </x:c>
      <x:c r="AC17" s="30" t="n">
        <x:f>IF(J17=0,0,AB17/J17)</x:f>
        <x:v>0.19653246115570278</x:v>
      </x:c>
      <x:c r="AD17" s="30" t="n">
        <x:f>IFERROR(IF(AND(INDEX('Product_Master'!$G$2:$G$25,MATCH(A17,'Product_Master'!$A$2:$A$25,0))&gt;0,INDEX('Product_Master'!$G$2:$G$25,MATCH(A17,'Product_Master'!$A$2:$A$25,0))&lt;1),INDEX('Product_Master'!$G$2:$G$25,MATCH(A17,'Product_Master'!$A$2:$A$25,0)),'Cost_Assumptions'!$B$13),'Cost_Assumptions'!$B$13)</x:f>
        <x:v>0.345</x:v>
      </x:c>
      <x:c r="AE17" s="26" t="n">
        <x:f>IF(OR(F17=0,J17=0,(1-AD17-M17/J17)&lt;=0),0,(Q17-M17/F17)/(1-AD17-M17/J17))</x:f>
        <x:v>28.058498382987775</x:v>
      </x:c>
      <x:c r="AF17" s="26" t="n">
        <x:f>MAX(0,AE17-K17)</x:f>
        <x:v>0</x:v>
      </x:c>
      <x:c r="AG17" s="26" t="n">
        <x:f>AF17*F17</x:f>
        <x:v>0</x:v>
      </x:c>
      <x:c r="AH17" s="30" t="n">
        <x:f>IFERROR(INDEX('Routing'!$I$2:$I$25,MATCH(A17,'Routing'!$A$2:$A$25,0)),0)</x:f>
        <x:v>0.1</x:v>
      </x:c>
      <x:c r="AI17" s="7" t="str">
        <x:f>IF(AJ17="REVIEW","DATA REVIEW",IF(E17="Yes","STRATEGIC REVIEW",IF(T17&lt;=0,"IMMEDIATE REVIEW",IF(U17&lt;AD17,"PRICE / COST REVIEW",IF(AH17&gt;'Cost_Assumptions'!$B$12,"BATCH / MOQ REVIEW",IF(W17&lt;'Cost_Assumptions'!$B$11,"CAPACITY DRAG",IF(AND(U17&gt;=AD17+'Cost_Assumptions'!$B$14,W17&gt;='Cost_Assumptions'!$B$11),"PROTECT &amp; GROW","MONITOR")))))))</x:f>
        <x:v>CAPACITY DRAG</x:v>
      </x:c>
      <x:c r="AJ17" s="7" t="str">
        <x:f>IF(OR(COUNTIF('BOM_Cost'!$A$2:$A$121,A17)=0,COUNTIF('Routing'!$A$2:$A$25,A17)=0,F17&lt;=0,K17&lt;=0,IFERROR(INDEX('Product_Master'!$N$2:$N$25,MATCH(A17,'Product_Master'!$A$2:$A$25,0)),"REVIEW")="REVIEW"),"REVIEW","OK")</x:f>
        <x:v>OK</x:v>
      </x:c>
      <x:c r="AK17" s="32" t="n">
        <x:f>IF(AI17="DATA REVIEW",8,IF(AI17="STRATEGIC REVIEW",7,IF(AI17="IMMEDIATE REVIEW",6,IF(AI17="PRICE / COST REVIEW",5,IF(AI17="CAPACITY DRAG",4,IF(AI17="BATCH / MOQ REVIEW",3,IF(AI17="PROTECT &amp; GROW",2,1)))))))+MIN(0.8,AG17/10000000)+MIN(0.1,ABS(MIN(T17,0))/10000000)+ROW()/100000000</x:f>
        <x:v>4.00000017</x:v>
      </x:c>
      <x:c r="AL17" s="91" t="n">
        <x:f>RANK(AK17,$AK$2:$AK$25,0)</x:f>
        <x:v>12</x:v>
      </x:c>
      <x:c r="AM17" s="91" t="n">
        <x:f>RANK(T17,$T$2:$T$25,0)</x:f>
        <x:v>12</x:v>
      </x:c>
      <x:c r="AN17" s="92" t="n">
        <x:f>RANK(AG17,$AG$2:$AG$25,0)</x:f>
        <x:v>12</x:v>
      </x:c>
    </x:row>
    <x:row r="18">
      <x:c r="A18" s="6" t="str">
        <x:v>FG-017</x:v>
      </x:c>
      <x:c r="B18" s="7" t="str">
        <x:f>IFERROR(INDEX('Product_Master'!$B$2:$B$25,MATCH(A18,'Product_Master'!$A$2:$A$25,0)),"")</x:f>
        <x:v>Prime Gray Product</x:v>
      </x:c>
      <x:c r="C18" s="7" t="str">
        <x:f>IFERROR(INDEX('Product_Master'!$C$2:$C$25,MATCH(A18,'Product_Master'!$A$2:$A$25,0)),"")</x:f>
        <x:v>Prime</x:v>
      </x:c>
      <x:c r="D18" s="7" t="str">
        <x:f>IFERROR(INDEX('Product_Master'!$D$2:$D$25,MATCH(A18,'Product_Master'!$A$2:$A$25,0)),"")</x:f>
        <x:v>Line 1</x:v>
      </x:c>
      <x:c r="E18" s="7" t="str">
        <x:f>IFERROR(INDEX('Product_Master'!$E$2:$E$25,MATCH(A18,'Product_Master'!$A$2:$A$25,0)),"No")</x:f>
        <x:v>No</x:v>
      </x:c>
      <x:c r="F18" s="24" t="n">
        <x:f>SUMIFS('Sales_Detail'!$E$2:$E$289,'Sales_Detail'!$D$2:$D$289,A18,'Sales_Detail'!$A$2:$A$289,"&gt;="&amp;'Cost_Assumptions'!$B$6,'Sales_Detail'!$A$2:$A$289,"&lt;="&amp;'Cost_Assumptions'!$B$7)</x:f>
        <x:v>5250</x:v>
      </x:c>
      <x:c r="G18" s="26" t="n">
        <x:f>SUMIFS('Sales_Detail'!$F$2:$F$289,'Sales_Detail'!$D$2:$D$289,A18,'Sales_Detail'!$A$2:$A$289,"&gt;="&amp;'Cost_Assumptions'!$B$6,'Sales_Detail'!$A$2:$A$289,"&lt;="&amp;'Cost_Assumptions'!$B$7)</x:f>
        <x:v>123617.23447375593</x:v>
      </x:c>
      <x:c r="H18" s="26" t="n">
        <x:f>SUMIFS('Sales_Detail'!$G$2:$G$289,'Sales_Detail'!$D$2:$D$289,A18,'Sales_Detail'!$A$2:$A$289,"&gt;="&amp;'Cost_Assumptions'!$B$6,'Sales_Detail'!$A$2:$A$289,"&lt;="&amp;'Cost_Assumptions'!$B$7)</x:f>
        <x:v>3090.4308618438995</x:v>
      </x:c>
      <x:c r="I18" s="26" t="n">
        <x:f>SUMIFS('Sales_Detail'!$H$2:$H$289,'Sales_Detail'!$D$2:$D$289,A18,'Sales_Detail'!$A$2:$A$289,"&gt;="&amp;'Cost_Assumptions'!$B$6,'Sales_Detail'!$A$2:$A$289,"&lt;="&amp;'Cost_Assumptions'!$B$7)</x:f>
        <x:v>335.7166602831683</x:v>
      </x:c>
      <x:c r="J18" s="26" t="n">
        <x:f>SUMIFS('Sales_Detail'!$I$2:$I$289,'Sales_Detail'!$D$2:$D$289,A18,'Sales_Detail'!$A$2:$A$289,"&gt;="&amp;'Cost_Assumptions'!$B$6,'Sales_Detail'!$A$2:$A$289,"&lt;="&amp;'Cost_Assumptions'!$B$7)</x:f>
        <x:v>120191.08695162887</x:v>
      </x:c>
      <x:c r="K18" s="26" t="n">
        <x:f>IF(F18=0,0,J18/F18)</x:f>
        <x:v>22.893540371738833</x:v>
      </x:c>
      <x:c r="L18" s="26" t="n">
        <x:f>SUMIFS('Sales_Detail'!$J$2:$J$289,'Sales_Detail'!$D$2:$D$289,A18,'Sales_Detail'!$A$2:$A$289,"&gt;="&amp;'Cost_Assumptions'!$B$6,'Sales_Detail'!$A$2:$A$289,"&lt;="&amp;'Cost_Assumptions'!$B$7)</x:f>
        <x:v>17251.5</x:v>
      </x:c>
      <x:c r="M18" s="26" t="n">
        <x:f>SUMIFS('Sales_Detail'!$K$2:$K$289,'Sales_Detail'!$D$2:$D$289,A18,'Sales_Detail'!$A$2:$A$289,"&gt;="&amp;'Cost_Assumptions'!$B$6,'Sales_Detail'!$A$2:$A$289,"&lt;="&amp;'Cost_Assumptions'!$B$7)</x:f>
        <x:v>2644.2039129358354</x:v>
      </x:c>
      <x:c r="N18" s="26" t="n">
        <x:f>SUMIFS('BOM_Cost'!$H$2:$H$121,'BOM_Cost'!$A$2:$A$121,A18)</x:f>
        <x:v>9.35416438712</x:v>
      </x:c>
      <x:c r="O18" s="26" t="n">
        <x:f>IFERROR(INDEX('Routing'!$M$2:$M$25,MATCH(A18,'Routing'!$A$2:$A$25,0)),0)</x:f>
        <x:v>0.12023809523809524</x:v>
      </x:c>
      <x:c r="P18" s="26" t="n">
        <x:f>IFERROR(INDEX('Routing'!$N$2:$N$25,MATCH(A18,'Routing'!$A$2:$A$25,0)),0)</x:f>
        <x:v>0.42160714285714285</x:v>
      </x:c>
      <x:c r="Q18" s="26" t="n">
        <x:f>N18+O18+P18+IF(F18=0,0,(L18+M18)/F18)</x:f>
        <x:v>13.685667513393494</x:v>
      </x:c>
      <x:c r="R18" s="26" t="n">
        <x:f>F18*N18</x:f>
        <x:v>49109.36303238</x:v>
      </x:c>
      <x:c r="S18" s="26" t="n">
        <x:f>F18*(O18+P18)</x:f>
        <x:v>2844.6875</x:v>
      </x:c>
      <x:c r="T18" s="26" t="n">
        <x:f>J18-L18-M18-R18-S18</x:f>
        <x:v>48341.33250631303</x:v>
      </x:c>
      <x:c r="U18" s="30" t="n">
        <x:f>IF(J18=0,0,T18/J18)</x:f>
        <x:v>0.4022039714622774</x:v>
      </x:c>
      <x:c r="V18" s="89" t="n">
        <x:f>F18*IFERROR(INDEX('Routing'!$P$2:$P$25,MATCH(A18,'Routing'!$A$2:$A$25,0)),0)</x:f>
        <x:v>64.375</x:v>
      </x:c>
      <x:c r="W18" s="26" t="n">
        <x:f>IF(V18=0,0,T18/V18)</x:f>
        <x:v>750.933320486416</x:v>
      </x:c>
      <x:c r="X18" s="26" t="n">
        <x:f>F18*IFERROR(INDEX('Routing'!$R$2:$R$25,MATCH(A18,'Routing'!$A$2:$A$25,0)),0)</x:f>
        <x:v>3089.9999999999995</x:v>
      </x:c>
      <x:c r="Y18" s="26" t="n">
        <x:f>R18+F18*IFERROR(INDEX('Routing'!$S$2:$S$25,MATCH(A18,'Routing'!$A$2:$A$25,0)),0)+X18</x:f>
        <x:v>55044.05053238</x:v>
      </x:c>
      <x:c r="Z18" s="26" t="n">
        <x:f>J18-Y18</x:f>
        <x:v>65147.03641924886</x:v>
      </x:c>
      <x:c r="AA18" s="30" t="n">
        <x:f>IF(J18=0,0,Z18/J18)</x:f>
        <x:v>0.5420288481579953</x:v>
      </x:c>
      <x:c r="AB18" s="26" t="n">
        <x:f>T18-X18</x:f>
        <x:v>45251.33250631303</x:v>
      </x:c>
      <x:c r="AC18" s="30" t="n">
        <x:f>IF(J18=0,0,AB18/J18)</x:f>
        <x:v>0.37649491034659266</x:v>
      </x:c>
      <x:c r="AD18" s="30" t="n">
        <x:f>IFERROR(IF(AND(INDEX('Product_Master'!$G$2:$G$25,MATCH(A18,'Product_Master'!$A$2:$A$25,0))&gt;0,INDEX('Product_Master'!$G$2:$G$25,MATCH(A18,'Product_Master'!$A$2:$A$25,0))&lt;1),INDEX('Product_Master'!$G$2:$G$25,MATCH(A18,'Product_Master'!$A$2:$A$25,0)),'Cost_Assumptions'!$B$13),'Cost_Assumptions'!$B$13)</x:f>
        <x:v>0.3</x:v>
      </x:c>
      <x:c r="AE18" s="26" t="n">
        <x:f>IF(OR(F18=0,J18=0,(1-AD18-M18/J18)&lt;=0),0,(Q18-M18/F18)/(1-AD18-M18/J18))</x:f>
        <x:v>19.44249207258885</x:v>
      </x:c>
      <x:c r="AF18" s="26" t="n">
        <x:f>MAX(0,AE18-K18)</x:f>
        <x:v>0</x:v>
      </x:c>
      <x:c r="AG18" s="26" t="n">
        <x:f>AF18*F18</x:f>
        <x:v>0</x:v>
      </x:c>
      <x:c r="AH18" s="30" t="n">
        <x:f>IFERROR(INDEX('Routing'!$I$2:$I$25,MATCH(A18,'Routing'!$A$2:$A$25,0)),0)</x:f>
        <x:v>0.1941747572815534</x:v>
      </x:c>
      <x:c r="AI18" s="7" t="str">
        <x:f>IF(AJ18="REVIEW","DATA REVIEW",IF(E18="Yes","STRATEGIC REVIEW",IF(T18&lt;=0,"IMMEDIATE REVIEW",IF(U18&lt;AD18,"PRICE / COST REVIEW",IF(AH18&gt;'Cost_Assumptions'!$B$12,"BATCH / MOQ REVIEW",IF(W18&lt;'Cost_Assumptions'!$B$11,"CAPACITY DRAG",IF(AND(U18&gt;=AD18+'Cost_Assumptions'!$B$14,W18&gt;='Cost_Assumptions'!$B$11),"PROTECT &amp; GROW","MONITOR")))))))</x:f>
        <x:v>PROTECT &amp; GROW</x:v>
      </x:c>
      <x:c r="AJ18" s="7" t="str">
        <x:f>IF(OR(COUNTIF('BOM_Cost'!$A$2:$A$121,A18)=0,COUNTIF('Routing'!$A$2:$A$25,A18)=0,F18&lt;=0,K18&lt;=0,IFERROR(INDEX('Product_Master'!$N$2:$N$25,MATCH(A18,'Product_Master'!$A$2:$A$25,0)),"REVIEW")="REVIEW"),"REVIEW","OK")</x:f>
        <x:v>OK</x:v>
      </x:c>
      <x:c r="AK18" s="32" t="n">
        <x:f>IF(AI18="DATA REVIEW",8,IF(AI18="STRATEGIC REVIEW",7,IF(AI18="IMMEDIATE REVIEW",6,IF(AI18="PRICE / COST REVIEW",5,IF(AI18="CAPACITY DRAG",4,IF(AI18="BATCH / MOQ REVIEW",3,IF(AI18="PROTECT &amp; GROW",2,1)))))))+MIN(0.8,AG18/10000000)+MIN(0.1,ABS(MIN(T18,0))/10000000)+ROW()/100000000</x:f>
        <x:v>2.00000018</x:v>
      </x:c>
      <x:c r="AL18" s="91" t="n">
        <x:f>RANK(AK18,$AK$2:$AK$25,0)</x:f>
        <x:v>19</x:v>
      </x:c>
      <x:c r="AM18" s="91" t="n">
        <x:f>RANK(T18,$T$2:$T$25,0)</x:f>
        <x:v>4</x:v>
      </x:c>
      <x:c r="AN18" s="92" t="n">
        <x:f>RANK(AG18,$AG$2:$AG$25,0)</x:f>
        <x:v>12</x:v>
      </x:c>
    </x:row>
    <x:row r="19">
      <x:c r="A19" s="6" t="str">
        <x:v>FG-018</x:v>
      </x:c>
      <x:c r="B19" s="7" t="str">
        <x:f>IFERROR(INDEX('Product_Master'!$B$2:$B$25,MATCH(A19,'Product_Master'!$A$2:$A$25,0)),"")</x:f>
        <x:v>Prime Red Product</x:v>
      </x:c>
      <x:c r="C19" s="7" t="str">
        <x:f>IFERROR(INDEX('Product_Master'!$C$2:$C$25,MATCH(A19,'Product_Master'!$A$2:$A$25,0)),"")</x:f>
        <x:v>Prime</x:v>
      </x:c>
      <x:c r="D19" s="7" t="str">
        <x:f>IFERROR(INDEX('Product_Master'!$D$2:$D$25,MATCH(A19,'Product_Master'!$A$2:$A$25,0)),"")</x:f>
        <x:v>Line 1</x:v>
      </x:c>
      <x:c r="E19" s="7" t="str">
        <x:f>IFERROR(INDEX('Product_Master'!$E$2:$E$25,MATCH(A19,'Product_Master'!$A$2:$A$25,0)),"No")</x:f>
        <x:v>No</x:v>
      </x:c>
      <x:c r="F19" s="24" t="n">
        <x:f>SUMIFS('Sales_Detail'!$E$2:$E$289,'Sales_Detail'!$D$2:$D$289,A19,'Sales_Detail'!$A$2:$A$289,"&gt;="&amp;'Cost_Assumptions'!$B$6,'Sales_Detail'!$A$2:$A$289,"&lt;="&amp;'Cost_Assumptions'!$B$7)</x:f>
        <x:v>3300</x:v>
      </x:c>
      <x:c r="G19" s="26" t="n">
        <x:f>SUMIFS('Sales_Detail'!$F$2:$F$289,'Sales_Detail'!$D$2:$D$289,A19,'Sales_Detail'!$A$2:$A$289,"&gt;="&amp;'Cost_Assumptions'!$B$6,'Sales_Detail'!$A$2:$A$289,"&lt;="&amp;'Cost_Assumptions'!$B$7)</x:f>
        <x:v>63154.38518900258</x:v>
      </x:c>
      <x:c r="H19" s="26" t="n">
        <x:f>SUMIFS('Sales_Detail'!$G$2:$G$289,'Sales_Detail'!$D$2:$D$289,A19,'Sales_Detail'!$A$2:$A$289,"&gt;="&amp;'Cost_Assumptions'!$B$6,'Sales_Detail'!$A$2:$A$289,"&lt;="&amp;'Cost_Assumptions'!$B$7)</x:f>
        <x:v>1957.7859408590798</x:v>
      </x:c>
      <x:c r="I19" s="26" t="n">
        <x:f>SUMIFS('Sales_Detail'!$H$2:$H$289,'Sales_Detail'!$D$2:$D$289,A19,'Sales_Detail'!$A$2:$A$289,"&gt;="&amp;'Cost_Assumptions'!$B$6,'Sales_Detail'!$A$2:$A$289,"&lt;="&amp;'Cost_Assumptions'!$B$7)</x:f>
        <x:v>179.33041596372124</x:v>
      </x:c>
      <x:c r="J19" s="26" t="n">
        <x:f>SUMIFS('Sales_Detail'!$I$2:$I$289,'Sales_Detail'!$D$2:$D$289,A19,'Sales_Detail'!$A$2:$A$289,"&gt;="&amp;'Cost_Assumptions'!$B$6,'Sales_Detail'!$A$2:$A$289,"&lt;="&amp;'Cost_Assumptions'!$B$7)</x:f>
        <x:v>61017.268832179776</x:v>
      </x:c>
      <x:c r="K19" s="26" t="n">
        <x:f>IF(F19=0,0,J19/F19)</x:f>
        <x:v>18.490081464296903</x:v>
      </x:c>
      <x:c r="L19" s="26" t="n">
        <x:f>SUMIFS('Sales_Detail'!$J$2:$J$289,'Sales_Detail'!$D$2:$D$289,A19,'Sales_Detail'!$A$2:$A$289,"&gt;="&amp;'Cost_Assumptions'!$B$6,'Sales_Detail'!$A$2:$A$289,"&lt;="&amp;'Cost_Assumptions'!$B$7)</x:f>
        <x:v>14666.350000000002</x:v>
      </x:c>
      <x:c r="M19" s="26" t="n">
        <x:f>SUMIFS('Sales_Detail'!$K$2:$K$289,'Sales_Detail'!$D$2:$D$289,A19,'Sales_Detail'!$A$2:$A$289,"&gt;="&amp;'Cost_Assumptions'!$B$6,'Sales_Detail'!$A$2:$A$289,"&lt;="&amp;'Cost_Assumptions'!$B$7)</x:f>
        <x:v>1586.4489896366738</x:v>
      </x:c>
      <x:c r="N19" s="26" t="n">
        <x:f>SUMIFS('BOM_Cost'!$H$2:$H$121,'BOM_Cost'!$A$2:$A$121,A19)</x:f>
        <x:v>9.01562709548</x:v>
      </x:c>
      <x:c r="O19" s="26" t="n">
        <x:f>IFERROR(INDEX('Routing'!$M$2:$M$25,MATCH(A19,'Routing'!$A$2:$A$25,0)),0)</x:f>
        <x:v>0.42083333333333334</x:v>
      </x:c>
      <x:c r="P19" s="26" t="n">
        <x:f>IFERROR(INDEX('Routing'!$N$2:$N$25,MATCH(A19,'Routing'!$A$2:$A$25,0)),0)</x:f>
        <x:v>1.0104833333333332</x:v>
      </x:c>
      <x:c r="Q19" s="26" t="n">
        <x:f>N19+O19+P19+IF(F19=0,0,(L19+M19)/F19)</x:f>
        <x:v>15.37203436506687</x:v>
      </x:c>
      <x:c r="R19" s="26" t="n">
        <x:f>F19*N19</x:f>
        <x:v>29751.569415084</x:v>
      </x:c>
      <x:c r="S19" s="26" t="n">
        <x:f>F19*(O19+P19)</x:f>
        <x:v>4723.344999999999</x:v>
      </x:c>
      <x:c r="T19" s="26" t="n">
        <x:f>J19-L19-M19-R19-S19</x:f>
        <x:v>10289.5554274591</x:v>
      </x:c>
      <x:c r="U19" s="30" t="n">
        <x:f>IF(J19=0,0,T19/J19)</x:f>
        <x:v>0.16863349711307485</x:v>
      </x:c>
      <x:c r="V19" s="89" t="n">
        <x:f>F19*IFERROR(INDEX('Routing'!$P$2:$P$25,MATCH(A19,'Routing'!$A$2:$A$25,0)),0)</x:f>
        <x:v>107.69</x:v>
      </x:c>
      <x:c r="W19" s="26" t="n">
        <x:f>IF(V19=0,0,T19/V19)</x:f>
        <x:v>95.5479192818191</x:v>
      </x:c>
      <x:c r="X19" s="26" t="n">
        <x:f>F19*IFERROR(INDEX('Routing'!$R$2:$R$25,MATCH(A19,'Routing'!$A$2:$A$25,0)),0)</x:f>
        <x:v>5169.12</x:v>
      </x:c>
      <x:c r="Y19" s="26" t="n">
        <x:f>R19+F19*IFERROR(INDEX('Routing'!$S$2:$S$25,MATCH(A19,'Routing'!$A$2:$A$25,0)),0)+X19</x:f>
        <x:v>39644.034415084</x:v>
      </x:c>
      <x:c r="Z19" s="26" t="n">
        <x:f>J19-Y19</x:f>
        <x:v>21373.234417095773</x:v>
      </x:c>
      <x:c r="AA19" s="30" t="n">
        <x:f>IF(J19=0,0,Z19/J19)</x:f>
        <x:v>0.3502817288640062</x:v>
      </x:c>
      <x:c r="AB19" s="26" t="n">
        <x:f>T19-X19</x:f>
        <x:v>5120.4354274591</x:v>
      </x:c>
      <x:c r="AC19" s="30" t="n">
        <x:f>IF(J19=0,0,AB19/J19)</x:f>
        <x:v>0.08391780762167846</x:v>
      </x:c>
      <x:c r="AD19" s="30" t="n">
        <x:f>IFERROR(IF(AND(INDEX('Product_Master'!$G$2:$G$25,MATCH(A19,'Product_Master'!$A$2:$A$25,0))&gt;0,INDEX('Product_Master'!$G$2:$G$25,MATCH(A19,'Product_Master'!$A$2:$A$25,0))&lt;1),INDEX('Product_Master'!$G$2:$G$25,MATCH(A19,'Product_Master'!$A$2:$A$25,0)),'Cost_Assumptions'!$B$13),'Cost_Assumptions'!$B$13)</x:f>
        <x:v>0.315</x:v>
      </x:c>
      <x:c r="AE19" s="26" t="n">
        <x:f>IF(OR(F19=0,J19=0,(1-AD19-M19/J19)&lt;=0),0,(Q19-M19/F19)/(1-AD19-M19/J19))</x:f>
        <x:v>22.596801588763505</x:v>
      </x:c>
      <x:c r="AF19" s="26" t="n">
        <x:f>MAX(0,AE19-K19)</x:f>
        <x:v>4.106720124466602</x:v>
      </x:c>
      <x:c r="AG19" s="26" t="n">
        <x:f>AF19*F19</x:f>
        <x:v>13552.176410739785</x:v>
      </x:c>
      <x:c r="AH19" s="30" t="n">
        <x:f>IFERROR(INDEX('Routing'!$I$2:$I$25,MATCH(A19,'Routing'!$A$2:$A$25,0)),0)</x:f>
        <x:v>0.2553626149131767</x:v>
      </x:c>
      <x:c r="AI19" s="7" t="str">
        <x:f>IF(AJ19="REVIEW","DATA REVIEW",IF(E19="Yes","STRATEGIC REVIEW",IF(T19&lt;=0,"IMMEDIATE REVIEW",IF(U19&lt;AD19,"PRICE / COST REVIEW",IF(AH19&gt;'Cost_Assumptions'!$B$12,"BATCH / MOQ REVIEW",IF(W19&lt;'Cost_Assumptions'!$B$11,"CAPACITY DRAG",IF(AND(U19&gt;=AD19+'Cost_Assumptions'!$B$14,W19&gt;='Cost_Assumptions'!$B$11),"PROTECT &amp; GROW","MONITOR")))))))</x:f>
        <x:v>PRICE / COST REVIEW</x:v>
      </x:c>
      <x:c r="AJ19" s="7" t="str">
        <x:f>IF(OR(COUNTIF('BOM_Cost'!$A$2:$A$121,A19)=0,COUNTIF('Routing'!$A$2:$A$25,A19)=0,F19&lt;=0,K19&lt;=0,IFERROR(INDEX('Product_Master'!$N$2:$N$25,MATCH(A19,'Product_Master'!$A$2:$A$25,0)),"REVIEW")="REVIEW"),"REVIEW","OK")</x:f>
        <x:v>OK</x:v>
      </x:c>
      <x:c r="AK19" s="32" t="n">
        <x:f>IF(AI19="DATA REVIEW",8,IF(AI19="STRATEGIC REVIEW",7,IF(AI19="IMMEDIATE REVIEW",6,IF(AI19="PRICE / COST REVIEW",5,IF(AI19="CAPACITY DRAG",4,IF(AI19="BATCH / MOQ REVIEW",3,IF(AI19="PROTECT &amp; GROW",2,1)))))))+MIN(0.8,AG19/10000000)+MIN(0.1,ABS(MIN(T19,0))/10000000)+ROW()/100000000</x:f>
        <x:v>5.001355407641074</x:v>
      </x:c>
      <x:c r="AL19" s="91" t="n">
        <x:f>RANK(AK19,$AK$2:$AK$25,0)</x:f>
        <x:v>10</x:v>
      </x:c>
      <x:c r="AM19" s="91" t="n">
        <x:f>RANK(T19,$T$2:$T$25,0)</x:f>
        <x:v>16</x:v>
      </x:c>
      <x:c r="AN19" s="92" t="n">
        <x:f>RANK(AG19,$AG$2:$AG$25,0)</x:f>
        <x:v>6</x:v>
      </x:c>
    </x:row>
    <x:row r="20">
      <x:c r="A20" s="6" t="str">
        <x:v>FG-019</x:v>
      </x:c>
      <x:c r="B20" s="7" t="str">
        <x:f>IFERROR(INDEX('Product_Master'!$B$2:$B$25,MATCH(A20,'Product_Master'!$A$2:$A$25,0)),"")</x:f>
        <x:v>Flex White Product</x:v>
      </x:c>
      <x:c r="C20" s="7" t="str">
        <x:f>IFERROR(INDEX('Product_Master'!$C$2:$C$25,MATCH(A20,'Product_Master'!$A$2:$A$25,0)),"")</x:f>
        <x:v>Flex</x:v>
      </x:c>
      <x:c r="D20" s="7" t="str">
        <x:f>IFERROR(INDEX('Product_Master'!$D$2:$D$25,MATCH(A20,'Product_Master'!$A$2:$A$25,0)),"")</x:f>
        <x:v>Line 2</x:v>
      </x:c>
      <x:c r="E20" s="7" t="str">
        <x:f>IFERROR(INDEX('Product_Master'!$E$2:$E$25,MATCH(A20,'Product_Master'!$A$2:$A$25,0)),"No")</x:f>
        <x:v>No</x:v>
      </x:c>
      <x:c r="F20" s="24" t="n">
        <x:f>SUMIFS('Sales_Detail'!$E$2:$E$289,'Sales_Detail'!$D$2:$D$289,A20,'Sales_Detail'!$A$2:$A$289,"&gt;="&amp;'Cost_Assumptions'!$B$6,'Sales_Detail'!$A$2:$A$289,"&lt;="&amp;'Cost_Assumptions'!$B$7)</x:f>
        <x:v>1870</x:v>
      </x:c>
      <x:c r="G20" s="26" t="n">
        <x:f>SUMIFS('Sales_Detail'!$F$2:$F$289,'Sales_Detail'!$D$2:$D$289,A20,'Sales_Detail'!$A$2:$A$289,"&gt;="&amp;'Cost_Assumptions'!$B$6,'Sales_Detail'!$A$2:$A$289,"&lt;="&amp;'Cost_Assumptions'!$B$7)</x:f>
        <x:v>35165.22077744544</x:v>
      </x:c>
      <x:c r="H20" s="26" t="n">
        <x:f>SUMIFS('Sales_Detail'!$G$2:$G$289,'Sales_Detail'!$D$2:$D$289,A20,'Sales_Detail'!$A$2:$A$289,"&gt;="&amp;'Cost_Assumptions'!$B$6,'Sales_Detail'!$A$2:$A$289,"&lt;="&amp;'Cost_Assumptions'!$B$7)</x:f>
        <x:v>1301.1131687654813</x:v>
      </x:c>
      <x:c r="I20" s="26" t="n">
        <x:f>SUMIFS('Sales_Detail'!$H$2:$H$289,'Sales_Detail'!$D$2:$D$289,A20,'Sales_Detail'!$A$2:$A$289,"&gt;="&amp;'Cost_Assumptions'!$B$6,'Sales_Detail'!$A$2:$A$289,"&lt;="&amp;'Cost_Assumptions'!$B$7)</x:f>
        <x:v>282.627554316238</x:v>
      </x:c>
      <x:c r="J20" s="26" t="n">
        <x:f>SUMIFS('Sales_Detail'!$I$2:$I$289,'Sales_Detail'!$D$2:$D$289,A20,'Sales_Detail'!$A$2:$A$289,"&gt;="&amp;'Cost_Assumptions'!$B$6,'Sales_Detail'!$A$2:$A$289,"&lt;="&amp;'Cost_Assumptions'!$B$7)</x:f>
        <x:v>33581.48005436372</x:v>
      </x:c>
      <x:c r="K20" s="26" t="n">
        <x:f>IF(F20=0,0,J20/F20)</x:f>
        <x:v>17.958010724258674</x:v>
      </x:c>
      <x:c r="L20" s="26" t="n">
        <x:f>SUMIFS('Sales_Detail'!$J$2:$J$289,'Sales_Detail'!$D$2:$D$289,A20,'Sales_Detail'!$A$2:$A$289,"&gt;="&amp;'Cost_Assumptions'!$B$6,'Sales_Detail'!$A$2:$A$289,"&lt;="&amp;'Cost_Assumptions'!$B$7)</x:f>
        <x:v>9554.88</x:v>
      </x:c>
      <x:c r="M20" s="26" t="n">
        <x:f>SUMIFS('Sales_Detail'!$K$2:$K$289,'Sales_Detail'!$D$2:$D$289,A20,'Sales_Detail'!$A$2:$A$289,"&gt;="&amp;'Cost_Assumptions'!$B$6,'Sales_Detail'!$A$2:$A$289,"&lt;="&amp;'Cost_Assumptions'!$B$7)</x:f>
        <x:v>604.4666409785468</x:v>
      </x:c>
      <x:c r="N20" s="26" t="n">
        <x:f>SUMIFS('BOM_Cost'!$H$2:$H$121,'BOM_Cost'!$A$2:$A$121,A20)</x:f>
        <x:v>12.2223358473</x:v>
      </x:c>
      <x:c r="O20" s="26" t="n">
        <x:f>IFERROR(INDEX('Routing'!$M$2:$M$25,MATCH(A20,'Routing'!$A$2:$A$25,0)),0)</x:f>
        <x:v>0.21041666666666667</x:v>
      </x:c>
      <x:c r="P20" s="26" t="n">
        <x:f>IFERROR(INDEX('Routing'!$N$2:$N$25,MATCH(A20,'Routing'!$A$2:$A$25,0)),0)</x:f>
        <x:v>0.925625</x:v>
      </x:c>
      <x:c r="Q20" s="26" t="n">
        <x:f>N20+O20+P20+IF(F20=0,0,(L20+M20)/F20)</x:f>
        <x:v>18.791183204329528</x:v>
      </x:c>
      <x:c r="R20" s="26" t="n">
        <x:f>F20*N20</x:f>
        <x:v>22855.768034451</x:v>
      </x:c>
      <x:c r="S20" s="26" t="n">
        <x:f>F20*(O20+P20)</x:f>
        <x:v>2124.397916666667</x:v>
      </x:c>
      <x:c r="T20" s="26" t="n">
        <x:f>J20-L20-M20-R20-S20</x:f>
        <x:v>-1558.0325377324934</x:v>
      </x:c>
      <x:c r="U20" s="30" t="n">
        <x:f>IF(J20=0,0,T20/J20)</x:f>
        <x:v>-0.04639558873552496</x:v>
      </x:c>
      <x:c r="V20" s="89" t="n">
        <x:f>F20*IFERROR(INDEX('Routing'!$P$2:$P$25,MATCH(A20,'Routing'!$A$2:$A$25,0)),0)</x:f>
        <x:v>49.0875</x:v>
      </x:c>
      <x:c r="W20" s="26" t="n">
        <x:f>IF(V20=0,0,T20/V20)</x:f>
        <x:v>-31.739904002699127</x:v>
      </x:c>
      <x:c r="X20" s="26" t="n">
        <x:f>F20*IFERROR(INDEX('Routing'!$R$2:$R$25,MATCH(A20,'Routing'!$A$2:$A$25,0)),0)</x:f>
        <x:v>2181.6666666666665</x:v>
      </x:c>
      <x:c r="Y20" s="26" t="n">
        <x:f>R20+F20*IFERROR(INDEX('Routing'!$S$2:$S$25,MATCH(A20,'Routing'!$A$2:$A$25,0)),0)+X20</x:f>
        <x:v>27161.832617784337</x:v>
      </x:c>
      <x:c r="Z20" s="26" t="n">
        <x:f>J20-Y20</x:f>
        <x:v>6419.64743657938</x:v>
      </x:c>
      <x:c r="AA20" s="30" t="n">
        <x:f>IF(J20=0,0,Z20/J20)</x:f>
        <x:v>0.1911663043495066</x:v>
      </x:c>
      <x:c r="AB20" s="26" t="n">
        <x:f>T20-X20</x:f>
        <x:v>-3739.69920439916</x:v>
      </x:c>
      <x:c r="AC20" s="30" t="n">
        <x:f>IF(J20=0,0,AB20/J20)</x:f>
        <x:v>-0.11136195302723734</x:v>
      </x:c>
      <x:c r="AD20" s="30" t="n">
        <x:f>IFERROR(IF(AND(INDEX('Product_Master'!$G$2:$G$25,MATCH(A20,'Product_Master'!$A$2:$A$25,0))&gt;0,INDEX('Product_Master'!$G$2:$G$25,MATCH(A20,'Product_Master'!$A$2:$A$25,0))&lt;1),INDEX('Product_Master'!$G$2:$G$25,MATCH(A20,'Product_Master'!$A$2:$A$25,0)),'Cost_Assumptions'!$B$13),'Cost_Assumptions'!$B$13)</x:f>
        <x:v>0.32999999999999996</x:v>
      </x:c>
      <x:c r="AE20" s="26" t="n">
        <x:f>IF(OR(F20=0,J20=0,(1-AD20-M20/J20)&lt;=0),0,(Q20-M20/F20)/(1-AD20-M20/J20))</x:f>
        <x:v>28.325059833271272</x:v>
      </x:c>
      <x:c r="AF20" s="26" t="n">
        <x:f>MAX(0,AE20-K20)</x:f>
        <x:v>10.367049109012598</x:v>
      </x:c>
      <x:c r="AG20" s="26" t="n">
        <x:f>AF20*F20</x:f>
        <x:v>19386.381833853557</x:v>
      </x:c>
      <x:c r="AH20" s="30" t="n">
        <x:f>IFERROR(INDEX('Routing'!$I$2:$I$25,MATCH(A20,'Routing'!$A$2:$A$25,0)),0)</x:f>
        <x:v>0.15873015873015875</x:v>
      </x:c>
      <x:c r="AI20" s="7" t="str">
        <x:f>IF(AJ20="REVIEW","DATA REVIEW",IF(E20="Yes","STRATEGIC REVIEW",IF(T20&lt;=0,"IMMEDIATE REVIEW",IF(U20&lt;AD20,"PRICE / COST REVIEW",IF(AH20&gt;'Cost_Assumptions'!$B$12,"BATCH / MOQ REVIEW",IF(W20&lt;'Cost_Assumptions'!$B$11,"CAPACITY DRAG",IF(AND(U20&gt;=AD20+'Cost_Assumptions'!$B$14,W20&gt;='Cost_Assumptions'!$B$11),"PROTECT &amp; GROW","MONITOR")))))))</x:f>
        <x:v>IMMEDIATE REVIEW</x:v>
      </x:c>
      <x:c r="AJ20" s="7" t="str">
        <x:f>IF(OR(COUNTIF('BOM_Cost'!$A$2:$A$121,A20)=0,COUNTIF('Routing'!$A$2:$A$25,A20)=0,F20&lt;=0,K20&lt;=0,IFERROR(INDEX('Product_Master'!$N$2:$N$25,MATCH(A20,'Product_Master'!$A$2:$A$25,0)),"REVIEW")="REVIEW"),"REVIEW","OK")</x:f>
        <x:v>OK</x:v>
      </x:c>
      <x:c r="AK20" s="32" t="n">
        <x:f>IF(AI20="DATA REVIEW",8,IF(AI20="STRATEGIC REVIEW",7,IF(AI20="IMMEDIATE REVIEW",6,IF(AI20="PRICE / COST REVIEW",5,IF(AI20="CAPACITY DRAG",4,IF(AI20="BATCH / MOQ REVIEW",3,IF(AI20="PROTECT &amp; GROW",2,1)))))))+MIN(0.8,AG20/10000000)+MIN(0.1,ABS(MIN(T20,0))/10000000)+ROW()/100000000</x:f>
        <x:v>6.002094641437158</x:v>
      </x:c>
      <x:c r="AL20" s="91" t="n">
        <x:f>RANK(AK20,$AK$2:$AK$25,0)</x:f>
        <x:v>4</x:v>
      </x:c>
      <x:c r="AM20" s="91" t="n">
        <x:f>RANK(T20,$T$2:$T$25,0)</x:f>
        <x:v>23</x:v>
      </x:c>
      <x:c r="AN20" s="92" t="n">
        <x:f>RANK(AG20,$AG$2:$AG$25,0)</x:f>
        <x:v>1</x:v>
      </x:c>
    </x:row>
    <x:row r="21">
      <x:c r="A21" s="6" t="str">
        <x:v>FG-020</x:v>
      </x:c>
      <x:c r="B21" s="7" t="str">
        <x:f>IFERROR(INDEX('Product_Master'!$B$2:$B$25,MATCH(A21,'Product_Master'!$A$2:$A$25,0)),"")</x:f>
        <x:v>Flex Black Product</x:v>
      </x:c>
      <x:c r="C21" s="7" t="str">
        <x:f>IFERROR(INDEX('Product_Master'!$C$2:$C$25,MATCH(A21,'Product_Master'!$A$2:$A$25,0)),"")</x:f>
        <x:v>Flex</x:v>
      </x:c>
      <x:c r="D21" s="7" t="str">
        <x:f>IFERROR(INDEX('Product_Master'!$D$2:$D$25,MATCH(A21,'Product_Master'!$A$2:$A$25,0)),"")</x:f>
        <x:v>Line 2</x:v>
      </x:c>
      <x:c r="E21" s="7" t="str">
        <x:f>IFERROR(INDEX('Product_Master'!$E$2:$E$25,MATCH(A21,'Product_Master'!$A$2:$A$25,0)),"No")</x:f>
        <x:v>No</x:v>
      </x:c>
      <x:c r="F21" s="24" t="n">
        <x:f>SUMIFS('Sales_Detail'!$E$2:$E$289,'Sales_Detail'!$D$2:$D$289,A21,'Sales_Detail'!$A$2:$A$289,"&gt;="&amp;'Cost_Assumptions'!$B$6,'Sales_Detail'!$A$2:$A$289,"&lt;="&amp;'Cost_Assumptions'!$B$7)</x:f>
        <x:v>1110</x:v>
      </x:c>
      <x:c r="G21" s="26" t="n">
        <x:f>SUMIFS('Sales_Detail'!$F$2:$F$289,'Sales_Detail'!$D$2:$D$289,A21,'Sales_Detail'!$A$2:$A$289,"&gt;="&amp;'Cost_Assumptions'!$B$6,'Sales_Detail'!$A$2:$A$289,"&lt;="&amp;'Cost_Assumptions'!$B$7)</x:f>
        <x:v>46289.71651036072</x:v>
      </x:c>
      <x:c r="H21" s="26" t="n">
        <x:f>SUMIFS('Sales_Detail'!$G$2:$G$289,'Sales_Detail'!$D$2:$D$289,A21,'Sales_Detail'!$A$2:$A$289,"&gt;="&amp;'Cost_Assumptions'!$B$6,'Sales_Detail'!$A$2:$A$289,"&lt;="&amp;'Cost_Assumptions'!$B$7)</x:f>
        <x:v>1990.4578099455111</x:v>
      </x:c>
      <x:c r="I21" s="26" t="n">
        <x:f>SUMIFS('Sales_Detail'!$H$2:$H$289,'Sales_Detail'!$D$2:$D$289,A21,'Sales_Detail'!$A$2:$A$289,"&gt;="&amp;'Cost_Assumptions'!$B$6,'Sales_Detail'!$A$2:$A$289,"&lt;="&amp;'Cost_Assumptions'!$B$7)</x:f>
        <x:v>132.05820476746683</x:v>
      </x:c>
      <x:c r="J21" s="26" t="n">
        <x:f>SUMIFS('Sales_Detail'!$I$2:$I$289,'Sales_Detail'!$D$2:$D$289,A21,'Sales_Detail'!$A$2:$A$289,"&gt;="&amp;'Cost_Assumptions'!$B$6,'Sales_Detail'!$A$2:$A$289,"&lt;="&amp;'Cost_Assumptions'!$B$7)</x:f>
        <x:v>44167.20049564774</x:v>
      </x:c>
      <x:c r="K21" s="26" t="n">
        <x:f>IF(F21=0,0,J21/F21)</x:f>
        <x:v>39.79027071679977</x:v>
      </x:c>
      <x:c r="L21" s="26" t="n">
        <x:f>SUMIFS('Sales_Detail'!$J$2:$J$289,'Sales_Detail'!$D$2:$D$289,A21,'Sales_Detail'!$A$2:$A$289,"&gt;="&amp;'Cost_Assumptions'!$B$6,'Sales_Detail'!$A$2:$A$289,"&lt;="&amp;'Cost_Assumptions'!$B$7)</x:f>
        <x:v>6943.85</x:v>
      </x:c>
      <x:c r="M21" s="26" t="n">
        <x:f>SUMIFS('Sales_Detail'!$K$2:$K$289,'Sales_Detail'!$D$2:$D$289,A21,'Sales_Detail'!$A$2:$A$289,"&gt;="&amp;'Cost_Assumptions'!$B$6,'Sales_Detail'!$A$2:$A$289,"&lt;="&amp;'Cost_Assumptions'!$B$7)</x:f>
        <x:v>971.6784109042503</x:v>
      </x:c>
      <x:c r="N21" s="26" t="n">
        <x:f>SUMIFS('BOM_Cost'!$H$2:$H$121,'BOM_Cost'!$A$2:$A$121,A21)</x:f>
        <x:v>11.105337245</x:v>
      </x:c>
      <x:c r="O21" s="26" t="n">
        <x:f>IFERROR(INDEX('Routing'!$M$2:$M$25,MATCH(A21,'Routing'!$A$2:$A$25,0)),0)</x:f>
        <x:v>3.3666666666666667</x:v>
      </x:c>
      <x:c r="P21" s="26" t="n">
        <x:f>IFERROR(INDEX('Routing'!$N$2:$N$25,MATCH(A21,'Routing'!$A$2:$A$25,0)),0)</x:f>
        <x:v>2.6688888888888886</x:v>
      </x:c>
      <x:c r="Q21" s="26" t="n">
        <x:f>N21+O21+P21+IF(F21=0,0,(L21+M21)/F21)</x:f>
        <x:v>24.27199947704587</x:v>
      </x:c>
      <x:c r="R21" s="26" t="n">
        <x:f>F21*N21</x:f>
        <x:v>12326.92434195</x:v>
      </x:c>
      <x:c r="S21" s="26" t="n">
        <x:f>F21*(O21+P21)</x:f>
        <x:v>6699.466666666667</x:v>
      </x:c>
      <x:c r="T21" s="26" t="n">
        <x:f>J21-L21-M21-R21-S21</x:f>
        <x:v>17225.281076126827</x:v>
      </x:c>
      <x:c r="U21" s="30" t="n">
        <x:f>IF(J21=0,0,T21/J21)</x:f>
        <x:v>0.39000165015720695</x:v>
      </x:c>
      <x:c r="V21" s="89" t="n">
        <x:f>F21*IFERROR(INDEX('Routing'!$P$2:$P$25,MATCH(A21,'Routing'!$A$2:$A$25,0)),0)</x:f>
        <x:v>140.60000000000002</x:v>
      </x:c>
      <x:c r="W21" s="26" t="n">
        <x:f>IF(V21=0,0,T21/V21)</x:f>
        <x:v>122.51266768226759</x:v>
      </x:c>
      <x:c r="X21" s="26" t="n">
        <x:f>F21*IFERROR(INDEX('Routing'!$R$2:$R$25,MATCH(A21,'Routing'!$A$2:$A$25,0)),0)</x:f>
        <x:v>6248.888888888889</x:v>
      </x:c>
      <x:c r="Y21" s="26" t="n">
        <x:f>R21+F21*IFERROR(INDEX('Routing'!$S$2:$S$25,MATCH(A21,'Routing'!$A$2:$A$25,0)),0)+X21</x:f>
        <x:v>25275.279897505556</x:v>
      </x:c>
      <x:c r="Z21" s="26" t="n">
        <x:f>J21-Y21</x:f>
        <x:v>18891.920598142184</x:v>
      </x:c>
      <x:c r="AA21" s="30" t="n">
        <x:f>IF(J21=0,0,Z21/J21)</x:f>
        <x:v>0.427736428529216</x:v>
      </x:c>
      <x:c r="AB21" s="26" t="n">
        <x:f>T21-X21</x:f>
        <x:v>10976.392187237938</x:v>
      </x:c>
      <x:c r="AC21" s="30" t="n">
        <x:f>IF(J21=0,0,AB21/J21)</x:f>
        <x:v>0.24851908348412433</x:v>
      </x:c>
      <x:c r="AD21" s="30" t="n">
        <x:f>IFERROR(IF(AND(INDEX('Product_Master'!$G$2:$G$25,MATCH(A21,'Product_Master'!$A$2:$A$25,0))&gt;0,INDEX('Product_Master'!$G$2:$G$25,MATCH(A21,'Product_Master'!$A$2:$A$25,0))&lt;1),INDEX('Product_Master'!$G$2:$G$25,MATCH(A21,'Product_Master'!$A$2:$A$25,0)),'Cost_Assumptions'!$B$13),'Cost_Assumptions'!$B$13)</x:f>
        <x:v>0.345</x:v>
      </x:c>
      <x:c r="AE21" s="26" t="n">
        <x:f>IF(OR(F21=0,J21=0,(1-AD21-M21/J21)&lt;=0),0,(Q21-M21/F21)/(1-AD21-M21/J21))</x:f>
        <x:v>36.96147475715051</x:v>
      </x:c>
      <x:c r="AF21" s="26" t="n">
        <x:f>MAX(0,AE21-K21)</x:f>
        <x:v>0</x:v>
      </x:c>
      <x:c r="AG21" s="26" t="n">
        <x:f>AF21*F21</x:f>
        <x:v>0</x:v>
      </x:c>
      <x:c r="AH21" s="30" t="n">
        <x:f>IFERROR(INDEX('Routing'!$I$2:$I$25,MATCH(A21,'Routing'!$A$2:$A$25,0)),0)</x:f>
        <x:v>0.5263157894736842</x:v>
      </x:c>
      <x:c r="AI21" s="7" t="str">
        <x:f>IF(AJ21="REVIEW","DATA REVIEW",IF(E21="Yes","STRATEGIC REVIEW",IF(T21&lt;=0,"IMMEDIATE REVIEW",IF(U21&lt;AD21,"PRICE / COST REVIEW",IF(AH21&gt;'Cost_Assumptions'!$B$12,"BATCH / MOQ REVIEW",IF(W21&lt;'Cost_Assumptions'!$B$11,"CAPACITY DRAG",IF(AND(U21&gt;=AD21+'Cost_Assumptions'!$B$14,W21&gt;='Cost_Assumptions'!$B$11),"PROTECT &amp; GROW","MONITOR")))))))</x:f>
        <x:v>BATCH / MOQ REVIEW</x:v>
      </x:c>
      <x:c r="AJ21" s="7" t="str">
        <x:f>IF(OR(COUNTIF('BOM_Cost'!$A$2:$A$121,A21)=0,COUNTIF('Routing'!$A$2:$A$25,A21)=0,F21&lt;=0,K21&lt;=0,IFERROR(INDEX('Product_Master'!$N$2:$N$25,MATCH(A21,'Product_Master'!$A$2:$A$25,0)),"REVIEW")="REVIEW"),"REVIEW","OK")</x:f>
        <x:v>OK</x:v>
      </x:c>
      <x:c r="AK21" s="32" t="n">
        <x:f>IF(AI21="DATA REVIEW",8,IF(AI21="STRATEGIC REVIEW",7,IF(AI21="IMMEDIATE REVIEW",6,IF(AI21="PRICE / COST REVIEW",5,IF(AI21="CAPACITY DRAG",4,IF(AI21="BATCH / MOQ REVIEW",3,IF(AI21="PROTECT &amp; GROW",2,1)))))))+MIN(0.8,AG21/10000000)+MIN(0.1,ABS(MIN(T21,0))/10000000)+ROW()/100000000</x:f>
        <x:v>3.00000021</x:v>
      </x:c>
      <x:c r="AL21" s="91" t="n">
        <x:f>RANK(AK21,$AK$2:$AK$25,0)</x:f>
        <x:v>15</x:v>
      </x:c>
      <x:c r="AM21" s="91" t="n">
        <x:f>RANK(T21,$T$2:$T$25,0)</x:f>
        <x:v>10</x:v>
      </x:c>
      <x:c r="AN21" s="92" t="n">
        <x:f>RANK(AG21,$AG$2:$AG$25,0)</x:f>
        <x:v>12</x:v>
      </x:c>
    </x:row>
    <x:row r="22">
      <x:c r="A22" s="6" t="str">
        <x:v>FG-021</x:v>
      </x:c>
      <x:c r="B22" s="7" t="str">
        <x:f>IFERROR(INDEX('Product_Master'!$B$2:$B$25,MATCH(A22,'Product_Master'!$A$2:$A$25,0)),"")</x:f>
        <x:v>Flex Tan Product</x:v>
      </x:c>
      <x:c r="C22" s="7" t="str">
        <x:f>IFERROR(INDEX('Product_Master'!$C$2:$C$25,MATCH(A22,'Product_Master'!$A$2:$A$25,0)),"")</x:f>
        <x:v>Flex</x:v>
      </x:c>
      <x:c r="D22" s="7" t="str">
        <x:f>IFERROR(INDEX('Product_Master'!$D$2:$D$25,MATCH(A22,'Product_Master'!$A$2:$A$25,0)),"")</x:f>
        <x:v>Line 2</x:v>
      </x:c>
      <x:c r="E22" s="7" t="str">
        <x:f>IFERROR(INDEX('Product_Master'!$E$2:$E$25,MATCH(A22,'Product_Master'!$A$2:$A$25,0)),"No")</x:f>
        <x:v>No</x:v>
      </x:c>
      <x:c r="F22" s="24" t="n">
        <x:f>SUMIFS('Sales_Detail'!$E$2:$E$289,'Sales_Detail'!$D$2:$D$289,A22,'Sales_Detail'!$A$2:$A$289,"&gt;="&amp;'Cost_Assumptions'!$B$6,'Sales_Detail'!$A$2:$A$289,"&lt;="&amp;'Cost_Assumptions'!$B$7)</x:f>
        <x:v>3370</x:v>
      </x:c>
      <x:c r="G22" s="26" t="n">
        <x:f>SUMIFS('Sales_Detail'!$F$2:$F$289,'Sales_Detail'!$D$2:$D$289,A22,'Sales_Detail'!$A$2:$A$289,"&gt;="&amp;'Cost_Assumptions'!$B$6,'Sales_Detail'!$A$2:$A$289,"&lt;="&amp;'Cost_Assumptions'!$B$7)</x:f>
        <x:v>80272.67869891073</x:v>
      </x:c>
      <x:c r="H22" s="26" t="n">
        <x:f>SUMIFS('Sales_Detail'!$G$2:$G$289,'Sales_Detail'!$D$2:$D$289,A22,'Sales_Detail'!$A$2:$A$289,"&gt;="&amp;'Cost_Assumptions'!$B$6,'Sales_Detail'!$A$2:$A$289,"&lt;="&amp;'Cost_Assumptions'!$B$7)</x:f>
        <x:v>2006.8169674727685</x:v>
      </x:c>
      <x:c r="I22" s="26" t="n">
        <x:f>SUMIFS('Sales_Detail'!$H$2:$H$289,'Sales_Detail'!$D$2:$D$289,A22,'Sales_Detail'!$A$2:$A$289,"&gt;="&amp;'Cost_Assumptions'!$B$6,'Sales_Detail'!$A$2:$A$289,"&lt;="&amp;'Cost_Assumptions'!$B$7)</x:f>
        <x:v>217.1736760335577</x:v>
      </x:c>
      <x:c r="J22" s="26" t="n">
        <x:f>SUMIFS('Sales_Detail'!$I$2:$I$289,'Sales_Detail'!$D$2:$D$289,A22,'Sales_Detail'!$A$2:$A$289,"&gt;="&amp;'Cost_Assumptions'!$B$6,'Sales_Detail'!$A$2:$A$289,"&lt;="&amp;'Cost_Assumptions'!$B$7)</x:f>
        <x:v>78048.6880554044</x:v>
      </x:c>
      <x:c r="K22" s="26" t="n">
        <x:f>IF(F22=0,0,J22/F22)</x:f>
        <x:v>23.159848087657092</x:v>
      </x:c>
      <x:c r="L22" s="26" t="n">
        <x:f>SUMIFS('Sales_Detail'!$J$2:$J$289,'Sales_Detail'!$D$2:$D$289,A22,'Sales_Detail'!$A$2:$A$289,"&gt;="&amp;'Cost_Assumptions'!$B$6,'Sales_Detail'!$A$2:$A$289,"&lt;="&amp;'Cost_Assumptions'!$B$7)</x:f>
        <x:v>8003.7</x:v>
      </x:c>
      <x:c r="M22" s="26" t="n">
        <x:f>SUMIFS('Sales_Detail'!$K$2:$K$289,'Sales_Detail'!$D$2:$D$289,A22,'Sales_Detail'!$A$2:$A$289,"&gt;="&amp;'Cost_Assumptions'!$B$6,'Sales_Detail'!$A$2:$A$289,"&lt;="&amp;'Cost_Assumptions'!$B$7)</x:f>
        <x:v>2029.2658894405145</x:v>
      </x:c>
      <x:c r="N22" s="26" t="n">
        <x:f>SUMIFS('BOM_Cost'!$H$2:$H$121,'BOM_Cost'!$A$2:$A$121,A22)</x:f>
        <x:v>11.342690230639999</x:v>
      </x:c>
      <x:c r="O22" s="26" t="n">
        <x:f>IFERROR(INDEX('Routing'!$M$2:$M$25,MATCH(A22,'Routing'!$A$2:$A$25,0)),0)</x:f>
        <x:v>0.5260416666666666</x:v>
      </x:c>
      <x:c r="P22" s="26" t="n">
        <x:f>IFERROR(INDEX('Routing'!$N$2:$N$25,MATCH(A22,'Routing'!$A$2:$A$25,0)),0)</x:f>
        <x:v>1.0197708333333333</x:v>
      </x:c>
      <x:c r="Q22" s="26" t="n">
        <x:f>N22+O22+P22+IF(F22=0,0,(L22+M22)/F22)</x:f>
        <x:v>15.865643944123832</x:v>
      </x:c>
      <x:c r="R22" s="26" t="n">
        <x:f>F22*N22</x:f>
        <x:v>38224.8660772568</x:v>
      </x:c>
      <x:c r="S22" s="26" t="n">
        <x:f>F22*(O22+P22)</x:f>
        <x:v>5209.3881249999995</x:v>
      </x:c>
      <x:c r="T22" s="26" t="n">
        <x:f>J22-L22-M22-R22-S22</x:f>
        <x:v>24581.467963707095</x:v>
      </x:c>
      <x:c r="U22" s="30" t="n">
        <x:f>IF(J22=0,0,T22/J22)</x:f>
        <x:v>0.3149504312776847</x:v>
      </x:c>
      <x:c r="V22" s="89" t="n">
        <x:f>F22*IFERROR(INDEX('Routing'!$P$2:$P$25,MATCH(A22,'Routing'!$A$2:$A$25,0)),0)</x:f>
        <x:v>112.19291666666668</x:v>
      </x:c>
      <x:c r="W22" s="26" t="n">
        <x:f>IF(V22=0,0,T22/V22)</x:f>
        <x:v>219.09999930512927</x:v>
      </x:c>
      <x:c r="X22" s="26" t="n">
        <x:f>F22*IFERROR(INDEX('Routing'!$R$2:$R$25,MATCH(A22,'Routing'!$A$2:$A$25,0)),0)</x:f>
        <x:v>4986.351851851852</x:v>
      </x:c>
      <x:c r="Y22" s="26" t="n">
        <x:f>R22+F22*IFERROR(INDEX('Routing'!$S$2:$S$25,MATCH(A22,'Routing'!$A$2:$A$25,0)),0)+X22</x:f>
        <x:v>48420.60605410865</x:v>
      </x:c>
      <x:c r="Z22" s="26" t="n">
        <x:f>J22-Y22</x:f>
        <x:v>29628.082001295756</x:v>
      </x:c>
      <x:c r="AA22" s="30" t="n">
        <x:f>IF(J22=0,0,Z22/J22)</x:f>
        <x:v>0.37961025021027484</x:v>
      </x:c>
      <x:c r="AB22" s="26" t="n">
        <x:f>T22-X22</x:f>
        <x:v>19595.11611185524</x:v>
      </x:c>
      <x:c r="AC22" s="30" t="n">
        <x:f>IF(J22=0,0,AB22/J22)</x:f>
        <x:v>0.2510627225142498</x:v>
      </x:c>
      <x:c r="AD22" s="30" t="n">
        <x:f>IFERROR(IF(AND(INDEX('Product_Master'!$G$2:$G$25,MATCH(A22,'Product_Master'!$A$2:$A$25,0))&gt;0,INDEX('Product_Master'!$G$2:$G$25,MATCH(A22,'Product_Master'!$A$2:$A$25,0))&lt;1),INDEX('Product_Master'!$G$2:$G$25,MATCH(A22,'Product_Master'!$A$2:$A$25,0)),'Cost_Assumptions'!$B$13),'Cost_Assumptions'!$B$13)</x:f>
        <x:v>0.3</x:v>
      </x:c>
      <x:c r="AE22" s="26" t="n">
        <x:f>IF(OR(F22=0,J22=0,(1-AD22-M22/J22)&lt;=0),0,(Q22-M22/F22)/(1-AD22-M22/J22))</x:f>
        <x:v>22.646124471579746</x:v>
      </x:c>
      <x:c r="AF22" s="26" t="n">
        <x:f>MAX(0,AE22-K22)</x:f>
        <x:v>0</x:v>
      </x:c>
      <x:c r="AG22" s="26" t="n">
        <x:f>AF22*F22</x:f>
        <x:v>0</x:v>
      </x:c>
      <x:c r="AH22" s="30" t="n">
        <x:f>IFERROR(INDEX('Routing'!$I$2:$I$25,MATCH(A22,'Routing'!$A$2:$A$25,0)),0)</x:f>
        <x:v>0.31289111389236546</x:v>
      </x:c>
      <x:c r="AI22" s="7" t="str">
        <x:f>IF(AJ22="REVIEW","DATA REVIEW",IF(E22="Yes","STRATEGIC REVIEW",IF(T22&lt;=0,"IMMEDIATE REVIEW",IF(U22&lt;AD22,"PRICE / COST REVIEW",IF(AH22&gt;'Cost_Assumptions'!$B$12,"BATCH / MOQ REVIEW",IF(W22&lt;'Cost_Assumptions'!$B$11,"CAPACITY DRAG",IF(AND(U22&gt;=AD22+'Cost_Assumptions'!$B$14,W22&gt;='Cost_Assumptions'!$B$11),"PROTECT &amp; GROW","MONITOR")))))))</x:f>
        <x:v>MONITOR</x:v>
      </x:c>
      <x:c r="AJ22" s="7" t="str">
        <x:f>IF(OR(COUNTIF('BOM_Cost'!$A$2:$A$121,A22)=0,COUNTIF('Routing'!$A$2:$A$25,A22)=0,F22&lt;=0,K22&lt;=0,IFERROR(INDEX('Product_Master'!$N$2:$N$25,MATCH(A22,'Product_Master'!$A$2:$A$25,0)),"REVIEW")="REVIEW"),"REVIEW","OK")</x:f>
        <x:v>OK</x:v>
      </x:c>
      <x:c r="AK22" s="32" t="n">
        <x:f>IF(AI22="DATA REVIEW",8,IF(AI22="STRATEGIC REVIEW",7,IF(AI22="IMMEDIATE REVIEW",6,IF(AI22="PRICE / COST REVIEW",5,IF(AI22="CAPACITY DRAG",4,IF(AI22="BATCH / MOQ REVIEW",3,IF(AI22="PROTECT &amp; GROW",2,1)))))))+MIN(0.8,AG22/10000000)+MIN(0.1,ABS(MIN(T22,0))/10000000)+ROW()/100000000</x:f>
        <x:v>1.00000022</x:v>
      </x:c>
      <x:c r="AL22" s="91" t="n">
        <x:f>RANK(AK22,$AK$2:$AK$25,0)</x:f>
        <x:v>22</x:v>
      </x:c>
      <x:c r="AM22" s="91" t="n">
        <x:f>RANK(T22,$T$2:$T$25,0)</x:f>
        <x:v>7</x:v>
      </x:c>
      <x:c r="AN22" s="92" t="n">
        <x:f>RANK(AG22,$AG$2:$AG$25,0)</x:f>
        <x:v>12</x:v>
      </x:c>
    </x:row>
    <x:row r="23">
      <x:c r="A23" s="6" t="str">
        <x:v>FG-022</x:v>
      </x:c>
      <x:c r="B23" s="7" t="str">
        <x:f>IFERROR(INDEX('Product_Master'!$B$2:$B$25,MATCH(A23,'Product_Master'!$A$2:$A$25,0)),"")</x:f>
        <x:v>Flex Blue Product</x:v>
      </x:c>
      <x:c r="C23" s="7" t="str">
        <x:f>IFERROR(INDEX('Product_Master'!$C$2:$C$25,MATCH(A23,'Product_Master'!$A$2:$A$25,0)),"")</x:f>
        <x:v>Flex</x:v>
      </x:c>
      <x:c r="D23" s="7" t="str">
        <x:f>IFERROR(INDEX('Product_Master'!$D$2:$D$25,MATCH(A23,'Product_Master'!$A$2:$A$25,0)),"")</x:f>
        <x:v>Line 2</x:v>
      </x:c>
      <x:c r="E23" s="7" t="str">
        <x:f>IFERROR(INDEX('Product_Master'!$E$2:$E$25,MATCH(A23,'Product_Master'!$A$2:$A$25,0)),"No")</x:f>
        <x:v>No</x:v>
      </x:c>
      <x:c r="F23" s="24" t="n">
        <x:f>SUMIFS('Sales_Detail'!$E$2:$E$289,'Sales_Detail'!$D$2:$D$289,A23,'Sales_Detail'!$A$2:$A$289,"&gt;="&amp;'Cost_Assumptions'!$B$6,'Sales_Detail'!$A$2:$A$289,"&lt;="&amp;'Cost_Assumptions'!$B$7)</x:f>
        <x:v>5250</x:v>
      </x:c>
      <x:c r="G23" s="26" t="n">
        <x:f>SUMIFS('Sales_Detail'!$F$2:$F$289,'Sales_Detail'!$D$2:$D$289,A23,'Sales_Detail'!$A$2:$A$289,"&gt;="&amp;'Cost_Assumptions'!$B$6,'Sales_Detail'!$A$2:$A$289,"&lt;="&amp;'Cost_Assumptions'!$B$7)</x:f>
        <x:v>154723.75018236774</x:v>
      </x:c>
      <x:c r="H23" s="26" t="n">
        <x:f>SUMIFS('Sales_Detail'!$G$2:$G$289,'Sales_Detail'!$D$2:$D$289,A23,'Sales_Detail'!$A$2:$A$289,"&gt;="&amp;'Cost_Assumptions'!$B$6,'Sales_Detail'!$A$2:$A$289,"&lt;="&amp;'Cost_Assumptions'!$B$7)</x:f>
        <x:v>4796.436255653399</x:v>
      </x:c>
      <x:c r="I23" s="26" t="n">
        <x:f>SUMIFS('Sales_Detail'!$H$2:$H$289,'Sales_Detail'!$D$2:$D$289,A23,'Sales_Detail'!$A$2:$A$289,"&gt;="&amp;'Cost_Assumptions'!$B$6,'Sales_Detail'!$A$2:$A$289,"&lt;="&amp;'Cost_Assumptions'!$B$7)</x:f>
        <x:v>436.50207216280336</x:v>
      </x:c>
      <x:c r="J23" s="26" t="n">
        <x:f>SUMIFS('Sales_Detail'!$I$2:$I$289,'Sales_Detail'!$D$2:$D$289,A23,'Sales_Detail'!$A$2:$A$289,"&gt;="&amp;'Cost_Assumptions'!$B$6,'Sales_Detail'!$A$2:$A$289,"&lt;="&amp;'Cost_Assumptions'!$B$7)</x:f>
        <x:v>149490.81185455152</x:v>
      </x:c>
      <x:c r="K23" s="26" t="n">
        <x:f>IF(F23=0,0,J23/F23)</x:f>
        <x:v>28.474440353247907</x:v>
      </x:c>
      <x:c r="L23" s="26" t="n">
        <x:f>SUMIFS('Sales_Detail'!$J$2:$J$289,'Sales_Detail'!$D$2:$D$289,A23,'Sales_Detail'!$A$2:$A$289,"&gt;="&amp;'Cost_Assumptions'!$B$6,'Sales_Detail'!$A$2:$A$289,"&lt;="&amp;'Cost_Assumptions'!$B$7)</x:f>
        <x:v>18173.75</x:v>
      </x:c>
      <x:c r="M23" s="26" t="n">
        <x:f>SUMIFS('Sales_Detail'!$K$2:$K$289,'Sales_Detail'!$D$2:$D$289,A23,'Sales_Detail'!$A$2:$A$289,"&gt;="&amp;'Cost_Assumptions'!$B$6,'Sales_Detail'!$A$2:$A$289,"&lt;="&amp;'Cost_Assumptions'!$B$7)</x:f>
        <x:v>2690.834613381927</x:v>
      </x:c>
      <x:c r="N23" s="26" t="n">
        <x:f>SUMIFS('BOM_Cost'!$H$2:$H$121,'BOM_Cost'!$A$2:$A$121,A23)</x:f>
        <x:v>12.175566862359998</x:v>
      </x:c>
      <x:c r="O23" s="26" t="n">
        <x:f>IFERROR(INDEX('Routing'!$M$2:$M$25,MATCH(A23,'Routing'!$A$2:$A$25,0)),0)</x:f>
        <x:v>0.12023809523809524</x:v>
      </x:c>
      <x:c r="P23" s="26" t="n">
        <x:f>IFERROR(INDEX('Routing'!$N$2:$N$25,MATCH(A23,'Routing'!$A$2:$A$25,0)),0)</x:f>
        <x:v>0.42160714285714285</x:v>
      </x:c>
      <x:c r="Q23" s="26" t="n">
        <x:f>N23+O23+P23+IF(F23=0,0,(L23+M23)/F23)</x:f>
        <x:v>16.691618693480365</x:v>
      </x:c>
      <x:c r="R23" s="26" t="n">
        <x:f>F23*N23</x:f>
        <x:v>63921.72602738999</x:v>
      </x:c>
      <x:c r="S23" s="26" t="n">
        <x:f>F23*(O23+P23)</x:f>
        <x:v>2844.6875</x:v>
      </x:c>
      <x:c r="T23" s="26" t="n">
        <x:f>J23-L23-M23-R23-S23</x:f>
        <x:v>61859.8137137796</x:v>
      </x:c>
      <x:c r="U23" s="30" t="n">
        <x:f>IF(J23=0,0,T23/J23)</x:f>
        <x:v>0.41380345016767106</x:v>
      </x:c>
      <x:c r="V23" s="89" t="n">
        <x:f>F23*IFERROR(INDEX('Routing'!$P$2:$P$25,MATCH(A23,'Routing'!$A$2:$A$25,0)),0)</x:f>
        <x:v>64.375</x:v>
      </x:c>
      <x:c r="W23" s="26" t="n">
        <x:f>IF(V23=0,0,T23/V23)</x:f>
        <x:v>960.929145068421</x:v>
      </x:c>
      <x:c r="X23" s="26" t="n">
        <x:f>F23*IFERROR(INDEX('Routing'!$R$2:$R$25,MATCH(A23,'Routing'!$A$2:$A$25,0)),0)</x:f>
        <x:v>2861.1111111111113</x:v>
      </x:c>
      <x:c r="Y23" s="26" t="n">
        <x:f>R23+F23*IFERROR(INDEX('Routing'!$S$2:$S$25,MATCH(A23,'Routing'!$A$2:$A$25,0)),0)+X23</x:f>
        <x:v>69627.5246385011</x:v>
      </x:c>
      <x:c r="Z23" s="26" t="n">
        <x:f>J23-Y23</x:f>
        <x:v>79863.28721605042</x:v>
      </x:c>
      <x:c r="AA23" s="30" t="n">
        <x:f>IF(J23=0,0,Z23/J23)</x:f>
        <x:v>0.5342354237379763</x:v>
      </x:c>
      <x:c r="AB23" s="26" t="n">
        <x:f>T23-X23</x:f>
        <x:v>58998.70260266849</x:v>
      </x:c>
      <x:c r="AC23" s="30" t="n">
        <x:f>IF(J23=0,0,AB23/J23)</x:f>
        <x:v>0.3946644069340651</x:v>
      </x:c>
      <x:c r="AD23" s="30" t="n">
        <x:f>IFERROR(IF(AND(INDEX('Product_Master'!$G$2:$G$25,MATCH(A23,'Product_Master'!$A$2:$A$25,0))&gt;0,INDEX('Product_Master'!$G$2:$G$25,MATCH(A23,'Product_Master'!$A$2:$A$25,0))&lt;1),INDEX('Product_Master'!$G$2:$G$25,MATCH(A23,'Product_Master'!$A$2:$A$25,0)),'Cost_Assumptions'!$B$13),'Cost_Assumptions'!$B$13)</x:f>
        <x:v>0.315</x:v>
      </x:c>
      <x:c r="AE23" s="26" t="n">
        <x:f>IF(OR(F23=0,J23=0,(1-AD23-M23/J23)&lt;=0),0,(Q23-M23/F23)/(1-AD23-M23/J23))</x:f>
        <x:v>24.256489905729985</x:v>
      </x:c>
      <x:c r="AF23" s="26" t="n">
        <x:f>MAX(0,AE23-K23)</x:f>
        <x:v>0</x:v>
      </x:c>
      <x:c r="AG23" s="26" t="n">
        <x:f>AF23*F23</x:f>
        <x:v>0</x:v>
      </x:c>
      <x:c r="AH23" s="30" t="n">
        <x:f>IFERROR(INDEX('Routing'!$I$2:$I$25,MATCH(A23,'Routing'!$A$2:$A$25,0)),0)</x:f>
        <x:v>0.1941747572815534</x:v>
      </x:c>
      <x:c r="AI23" s="7" t="str">
        <x:f>IF(AJ23="REVIEW","DATA REVIEW",IF(E23="Yes","STRATEGIC REVIEW",IF(T23&lt;=0,"IMMEDIATE REVIEW",IF(U23&lt;AD23,"PRICE / COST REVIEW",IF(AH23&gt;'Cost_Assumptions'!$B$12,"BATCH / MOQ REVIEW",IF(W23&lt;'Cost_Assumptions'!$B$11,"CAPACITY DRAG",IF(AND(U23&gt;=AD23+'Cost_Assumptions'!$B$14,W23&gt;='Cost_Assumptions'!$B$11),"PROTECT &amp; GROW","MONITOR")))))))</x:f>
        <x:v>PROTECT &amp; GROW</x:v>
      </x:c>
      <x:c r="AJ23" s="7" t="str">
        <x:f>IF(OR(COUNTIF('BOM_Cost'!$A$2:$A$121,A23)=0,COUNTIF('Routing'!$A$2:$A$25,A23)=0,F23&lt;=0,K23&lt;=0,IFERROR(INDEX('Product_Master'!$N$2:$N$25,MATCH(A23,'Product_Master'!$A$2:$A$25,0)),"REVIEW")="REVIEW"),"REVIEW","OK")</x:f>
        <x:v>OK</x:v>
      </x:c>
      <x:c r="AK23" s="32" t="n">
        <x:f>IF(AI23="DATA REVIEW",8,IF(AI23="STRATEGIC REVIEW",7,IF(AI23="IMMEDIATE REVIEW",6,IF(AI23="PRICE / COST REVIEW",5,IF(AI23="CAPACITY DRAG",4,IF(AI23="BATCH / MOQ REVIEW",3,IF(AI23="PROTECT &amp; GROW",2,1)))))))+MIN(0.8,AG23/10000000)+MIN(0.1,ABS(MIN(T23,0))/10000000)+ROW()/100000000</x:f>
        <x:v>2.00000023</x:v>
      </x:c>
      <x:c r="AL23" s="91" t="n">
        <x:f>RANK(AK23,$AK$2:$AK$25,0)</x:f>
        <x:v>18</x:v>
      </x:c>
      <x:c r="AM23" s="91" t="n">
        <x:f>RANK(T23,$T$2:$T$25,0)</x:f>
        <x:v>2</x:v>
      </x:c>
      <x:c r="AN23" s="92" t="n">
        <x:f>RANK(AG23,$AG$2:$AG$25,0)</x:f>
        <x:v>12</x:v>
      </x:c>
    </x:row>
    <x:row r="24">
      <x:c r="A24" s="6" t="str">
        <x:v>FG-023</x:v>
      </x:c>
      <x:c r="B24" s="7" t="str">
        <x:f>IFERROR(INDEX('Product_Master'!$B$2:$B$25,MATCH(A24,'Product_Master'!$A$2:$A$25,0)),"")</x:f>
        <x:v>Flex Gray Product</x:v>
      </x:c>
      <x:c r="C24" s="7" t="str">
        <x:f>IFERROR(INDEX('Product_Master'!$C$2:$C$25,MATCH(A24,'Product_Master'!$A$2:$A$25,0)),"")</x:f>
        <x:v>Flex</x:v>
      </x:c>
      <x:c r="D24" s="7" t="str">
        <x:f>IFERROR(INDEX('Product_Master'!$D$2:$D$25,MATCH(A24,'Product_Master'!$A$2:$A$25,0)),"")</x:f>
        <x:v>Line 2</x:v>
      </x:c>
      <x:c r="E24" s="7" t="str">
        <x:f>IFERROR(INDEX('Product_Master'!$E$2:$E$25,MATCH(A24,'Product_Master'!$A$2:$A$25,0)),"No")</x:f>
        <x:v>No</x:v>
      </x:c>
      <x:c r="F24" s="24" t="n">
        <x:f>SUMIFS('Sales_Detail'!$E$2:$E$289,'Sales_Detail'!$D$2:$D$289,A24,'Sales_Detail'!$A$2:$A$289,"&gt;="&amp;'Cost_Assumptions'!$B$6,'Sales_Detail'!$A$2:$A$289,"&lt;="&amp;'Cost_Assumptions'!$B$7)</x:f>
        <x:v>3300</x:v>
      </x:c>
      <x:c r="G24" s="26" t="n">
        <x:f>SUMIFS('Sales_Detail'!$F$2:$F$289,'Sales_Detail'!$D$2:$D$289,A24,'Sales_Detail'!$A$2:$A$289,"&gt;="&amp;'Cost_Assumptions'!$B$6,'Sales_Detail'!$A$2:$A$289,"&lt;="&amp;'Cost_Assumptions'!$B$7)</x:f>
        <x:v>76854.02287880388</x:v>
      </x:c>
      <x:c r="H24" s="26" t="n">
        <x:f>SUMIFS('Sales_Detail'!$G$2:$G$289,'Sales_Detail'!$D$2:$D$289,A24,'Sales_Detail'!$A$2:$A$289,"&gt;="&amp;'Cost_Assumptions'!$B$6,'Sales_Detail'!$A$2:$A$289,"&lt;="&amp;'Cost_Assumptions'!$B$7)</x:f>
        <x:v>2843.5988465157434</x:v>
      </x:c>
      <x:c r="I24" s="26" t="n">
        <x:f>SUMIFS('Sales_Detail'!$H$2:$H$289,'Sales_Detail'!$D$2:$D$289,A24,'Sales_Detail'!$A$2:$A$289,"&gt;="&amp;'Cost_Assumptions'!$B$6,'Sales_Detail'!$A$2:$A$289,"&lt;="&amp;'Cost_Assumptions'!$B$7)</x:f>
        <x:v>209.04755682779015</x:v>
      </x:c>
      <x:c r="J24" s="26" t="n">
        <x:f>SUMIFS('Sales_Detail'!$I$2:$I$289,'Sales_Detail'!$D$2:$D$289,A24,'Sales_Detail'!$A$2:$A$289,"&gt;="&amp;'Cost_Assumptions'!$B$6,'Sales_Detail'!$A$2:$A$289,"&lt;="&amp;'Cost_Assumptions'!$B$7)</x:f>
        <x:v>73801.37647546033</x:v>
      </x:c>
      <x:c r="K24" s="26" t="n">
        <x:f>IF(F24=0,0,J24/F24)</x:f>
        <x:v>22.364053477412224</x:v>
      </x:c>
      <x:c r="L24" s="26" t="n">
        <x:f>SUMIFS('Sales_Detail'!$J$2:$J$289,'Sales_Detail'!$D$2:$D$289,A24,'Sales_Detail'!$A$2:$A$289,"&gt;="&amp;'Cost_Assumptions'!$B$6,'Sales_Detail'!$A$2:$A$289,"&lt;="&amp;'Cost_Assumptions'!$B$7)</x:f>
        <x:v>13817.1</x:v>
      </x:c>
      <x:c r="M24" s="26" t="n">
        <x:f>SUMIFS('Sales_Detail'!$K$2:$K$289,'Sales_Detail'!$D$2:$D$289,A24,'Sales_Detail'!$A$2:$A$289,"&gt;="&amp;'Cost_Assumptions'!$B$6,'Sales_Detail'!$A$2:$A$289,"&lt;="&amp;'Cost_Assumptions'!$B$7)</x:f>
        <x:v>1623.6302824601275</x:v>
      </x:c>
      <x:c r="N24" s="26" t="n">
        <x:f>SUMIFS('BOM_Cost'!$H$2:$H$121,'BOM_Cost'!$A$2:$A$121,A24)</x:f>
        <x:v>12.037169911</x:v>
      </x:c>
      <x:c r="O24" s="26" t="n">
        <x:f>IFERROR(INDEX('Routing'!$M$2:$M$25,MATCH(A24,'Routing'!$A$2:$A$25,0)),0)</x:f>
        <x:v>0.28055555555555556</x:v>
      </x:c>
      <x:c r="P24" s="26" t="n">
        <x:f>IFERROR(INDEX('Routing'!$N$2:$N$25,MATCH(A24,'Routing'!$A$2:$A$25,0)),0)</x:f>
        <x:v>0.8974583333333335</x:v>
      </x:c>
      <x:c r="Q24" s="26" t="n">
        <x:f>N24+O24+P24+IF(F24=0,0,(L24+M24)/F24)</x:f>
        <x:v>17.894192976391956</x:v>
      </x:c>
      <x:c r="R24" s="26" t="n">
        <x:f>F24*N24</x:f>
        <x:v>39722.6607063</x:v>
      </x:c>
      <x:c r="S24" s="26" t="n">
        <x:f>F24*(O24+P24)</x:f>
        <x:v>3887.445833333334</x:v>
      </x:c>
      <x:c r="T24" s="26" t="n">
        <x:f>J24-L24-M24-R24-S24</x:f>
        <x:v>14750.539653366872</x:v>
      </x:c>
      <x:c r="U24" s="30" t="n">
        <x:f>IF(J24=0,0,T24/J24)</x:f>
        <x:v>0.19986808319586788</x:v>
      </x:c>
      <x:c r="V24" s="89" t="n">
        <x:f>F24*IFERROR(INDEX('Routing'!$P$2:$P$25,MATCH(A24,'Routing'!$A$2:$A$25,0)),0)</x:f>
        <x:v>84.05833333333334</x:v>
      </x:c>
      <x:c r="W24" s="26" t="n">
        <x:f>IF(V24=0,0,T24/V24)</x:f>
        <x:v>175.47980156677153</x:v>
      </x:c>
      <x:c r="X24" s="26" t="n">
        <x:f>F24*IFERROR(INDEX('Routing'!$R$2:$R$25,MATCH(A24,'Routing'!$A$2:$A$25,0)),0)</x:f>
        <x:v>3735.9259259259256</x:v>
      </x:c>
      <x:c r="Y24" s="26" t="n">
        <x:f>R24+F24*IFERROR(INDEX('Routing'!$S$2:$S$25,MATCH(A24,'Routing'!$A$2:$A$25,0)),0)+X24</x:f>
        <x:v>47346.032465559256</x:v>
      </x:c>
      <x:c r="Z24" s="26" t="n">
        <x:f>J24-Y24</x:f>
        <x:v>26455.344009901077</x:v>
      </x:c>
      <x:c r="AA24" s="30" t="n">
        <x:f>IF(J24=0,0,Z24/J24)</x:f>
        <x:v>0.35846681015086124</x:v>
      </x:c>
      <x:c r="AB24" s="26" t="n">
        <x:f>T24-X24</x:f>
        <x:v>11014.613727440947</x:v>
      </x:c>
      <x:c r="AC24" s="30" t="n">
        <x:f>IF(J24=0,0,AB24/J24)</x:f>
        <x:v>0.1492467248372178</x:v>
      </x:c>
      <x:c r="AD24" s="30" t="n">
        <x:f>IFERROR(IF(AND(INDEX('Product_Master'!$G$2:$G$25,MATCH(A24,'Product_Master'!$A$2:$A$25,0))&gt;0,INDEX('Product_Master'!$G$2:$G$25,MATCH(A24,'Product_Master'!$A$2:$A$25,0))&lt;1),INDEX('Product_Master'!$G$2:$G$25,MATCH(A24,'Product_Master'!$A$2:$A$25,0)),'Cost_Assumptions'!$B$13),'Cost_Assumptions'!$B$13)</x:f>
        <x:v>0.32999999999999996</x:v>
      </x:c>
      <x:c r="AE24" s="26" t="n">
        <x:f>IF(OR(F24=0,J24=0,(1-AD24-M24/J24)&lt;=0),0,(Q24-M24/F24)/(1-AD24-M24/J24))</x:f>
        <x:v>26.855221913408776</x:v>
      </x:c>
      <x:c r="AF24" s="26" t="n">
        <x:f>MAX(0,AE24-K24)</x:f>
        <x:v>4.491168435996553</x:v>
      </x:c>
      <x:c r="AG24" s="26" t="n">
        <x:f>AF24*F24</x:f>
        <x:v>14820.855838788624</x:v>
      </x:c>
      <x:c r="AH24" s="30" t="n">
        <x:f>IFERROR(INDEX('Routing'!$I$2:$I$25,MATCH(A24,'Routing'!$A$2:$A$25,0)),0)</x:f>
        <x:v>0.21810250817884405</x:v>
      </x:c>
      <x:c r="AI24" s="7" t="str">
        <x:f>IF(AJ24="REVIEW","DATA REVIEW",IF(E24="Yes","STRATEGIC REVIEW",IF(T24&lt;=0,"IMMEDIATE REVIEW",IF(U24&lt;AD24,"PRICE / COST REVIEW",IF(AH24&gt;'Cost_Assumptions'!$B$12,"BATCH / MOQ REVIEW",IF(W24&lt;'Cost_Assumptions'!$B$11,"CAPACITY DRAG",IF(AND(U24&gt;=AD24+'Cost_Assumptions'!$B$14,W24&gt;='Cost_Assumptions'!$B$11),"PROTECT &amp; GROW","MONITOR")))))))</x:f>
        <x:v>PRICE / COST REVIEW</x:v>
      </x:c>
      <x:c r="AJ24" s="7" t="str">
        <x:f>IF(OR(COUNTIF('BOM_Cost'!$A$2:$A$121,A24)=0,COUNTIF('Routing'!$A$2:$A$25,A24)=0,F24&lt;=0,K24&lt;=0,IFERROR(INDEX('Product_Master'!$N$2:$N$25,MATCH(A24,'Product_Master'!$A$2:$A$25,0)),"REVIEW")="REVIEW"),"REVIEW","OK")</x:f>
        <x:v>OK</x:v>
      </x:c>
      <x:c r="AK24" s="32" t="n">
        <x:f>IF(AI24="DATA REVIEW",8,IF(AI24="STRATEGIC REVIEW",7,IF(AI24="IMMEDIATE REVIEW",6,IF(AI24="PRICE / COST REVIEW",5,IF(AI24="CAPACITY DRAG",4,IF(AI24="BATCH / MOQ REVIEW",3,IF(AI24="PROTECT &amp; GROW",2,1)))))))+MIN(0.8,AG24/10000000)+MIN(0.1,ABS(MIN(T24,0))/10000000)+ROW()/100000000</x:f>
        <x:v>5.001482325583879</x:v>
      </x:c>
      <x:c r="AL24" s="91" t="n">
        <x:f>RANK(AK24,$AK$2:$AK$25,0)</x:f>
        <x:v>7</x:v>
      </x:c>
      <x:c r="AM24" s="91" t="n">
        <x:f>RANK(T24,$T$2:$T$25,0)</x:f>
        <x:v>11</x:v>
      </x:c>
      <x:c r="AN24" s="92" t="n">
        <x:f>RANK(AG24,$AG$2:$AG$25,0)</x:f>
        <x:v>3</x:v>
      </x:c>
    </x:row>
    <x:row r="25">
      <x:c r="A25" s="9" t="str">
        <x:v>FG-024</x:v>
      </x:c>
      <x:c r="B25" s="10" t="str">
        <x:f>IFERROR(INDEX('Product_Master'!$B$2:$B$25,MATCH(A25,'Product_Master'!$A$2:$A$25,0)),"")</x:f>
        <x:v>Flex Red Product</x:v>
      </x:c>
      <x:c r="C25" s="10" t="str">
        <x:f>IFERROR(INDEX('Product_Master'!$C$2:$C$25,MATCH(A25,'Product_Master'!$A$2:$A$25,0)),"")</x:f>
        <x:v>Flex</x:v>
      </x:c>
      <x:c r="D25" s="10" t="str">
        <x:f>IFERROR(INDEX('Product_Master'!$D$2:$D$25,MATCH(A25,'Product_Master'!$A$2:$A$25,0)),"")</x:f>
        <x:v>Line 2</x:v>
      </x:c>
      <x:c r="E25" s="10" t="str">
        <x:f>IFERROR(INDEX('Product_Master'!$E$2:$E$25,MATCH(A25,'Product_Master'!$A$2:$A$25,0)),"No")</x:f>
        <x:v>Yes</x:v>
      </x:c>
      <x:c r="F25" s="25" t="n">
        <x:f>SUMIFS('Sales_Detail'!$E$2:$E$289,'Sales_Detail'!$D$2:$D$289,A25,'Sales_Detail'!$A$2:$A$289,"&gt;="&amp;'Cost_Assumptions'!$B$6,'Sales_Detail'!$A$2:$A$289,"&lt;="&amp;'Cost_Assumptions'!$B$7)</x:f>
        <x:v>1680</x:v>
      </x:c>
      <x:c r="G25" s="28" t="n">
        <x:f>SUMIFS('Sales_Detail'!$F$2:$F$289,'Sales_Detail'!$D$2:$D$289,A25,'Sales_Detail'!$A$2:$A$289,"&gt;="&amp;'Cost_Assumptions'!$B$6,'Sales_Detail'!$A$2:$A$289,"&lt;="&amp;'Cost_Assumptions'!$B$7)</x:f>
        <x:v>45676.022306657695</x:v>
      </x:c>
      <x:c r="H25" s="28" t="n">
        <x:f>SUMIFS('Sales_Detail'!$G$2:$G$289,'Sales_Detail'!$D$2:$D$289,A25,'Sales_Detail'!$A$2:$A$289,"&gt;="&amp;'Cost_Assumptions'!$B$6,'Sales_Detail'!$A$2:$A$289,"&lt;="&amp;'Cost_Assumptions'!$B$7)</x:f>
        <x:v>1964.0689591862806</x:v>
      </x:c>
      <x:c r="I25" s="28" t="n">
        <x:f>SUMIFS('Sales_Detail'!$H$2:$H$289,'Sales_Detail'!$D$2:$D$289,A25,'Sales_Detail'!$A$2:$A$289,"&gt;="&amp;'Cost_Assumptions'!$B$6,'Sales_Detail'!$A$2:$A$289,"&lt;="&amp;'Cost_Assumptions'!$B$7)</x:f>
        <x:v>129.68094215008395</x:v>
      </x:c>
      <x:c r="J25" s="28" t="n">
        <x:f>SUMIFS('Sales_Detail'!$I$2:$I$289,'Sales_Detail'!$D$2:$D$289,A25,'Sales_Detail'!$A$2:$A$289,"&gt;="&amp;'Cost_Assumptions'!$B$6,'Sales_Detail'!$A$2:$A$289,"&lt;="&amp;'Cost_Assumptions'!$B$7)</x:f>
        <x:v>43582.272405321324</x:v>
      </x:c>
      <x:c r="K25" s="28" t="n">
        <x:f>IF(F25=0,0,J25/F25)</x:f>
        <x:v>25.941828812691263</x:v>
      </x:c>
      <x:c r="L25" s="28" t="n">
        <x:f>SUMIFS('Sales_Detail'!$J$2:$J$289,'Sales_Detail'!$D$2:$D$289,A25,'Sales_Detail'!$A$2:$A$289,"&gt;="&amp;'Cost_Assumptions'!$B$6,'Sales_Detail'!$A$2:$A$289,"&lt;="&amp;'Cost_Assumptions'!$B$7)</x:f>
        <x:v>9072</x:v>
      </x:c>
      <x:c r="M25" s="28" t="n">
        <x:f>SUMIFS('Sales_Detail'!$K$2:$K$289,'Sales_Detail'!$D$2:$D$289,A25,'Sales_Detail'!$A$2:$A$289,"&gt;="&amp;'Cost_Assumptions'!$B$6,'Sales_Detail'!$A$2:$A$289,"&lt;="&amp;'Cost_Assumptions'!$B$7)</x:f>
        <x:v>1133.1390825383544</x:v>
      </x:c>
      <x:c r="N25" s="28" t="n">
        <x:f>SUMIFS('BOM_Cost'!$H$2:$H$121,'BOM_Cost'!$A$2:$A$121,A25)</x:f>
        <x:v>12.917336436300001</x:v>
      </x:c>
      <x:c r="O25" s="28" t="n">
        <x:f>IFERROR(INDEX('Routing'!$M$2:$M$25,MATCH(A25,'Routing'!$A$2:$A$25,0)),0)</x:f>
        <x:v>0.3005952380952381</x:v>
      </x:c>
      <x:c r="P25" s="28" t="n">
        <x:f>IFERROR(INDEX('Routing'!$N$2:$N$25,MATCH(A25,'Routing'!$A$2:$A$25,0)),0)</x:f>
        <x:v>0.8841547619047619</x:v>
      </x:c>
      <x:c r="Q25" s="28" t="n">
        <x:f>N25+O25+P25+IF(F25=0,0,(L25+M25)/F25)</x:f>
        <x:v>20.176573985429975</x:v>
      </x:c>
      <x:c r="R25" s="28" t="n">
        <x:f>F25*N25</x:f>
        <x:v>21701.125212984003</x:v>
      </x:c>
      <x:c r="S25" s="28" t="n">
        <x:f>F25*(O25+P25)</x:f>
        <x:v>1990.3799999999999</x:v>
      </x:c>
      <x:c r="T25" s="28" t="n">
        <x:f>J25-L25-M25-R25-S25</x:f>
        <x:v>9685.628109798965</x:v>
      </x:c>
      <x:c r="U25" s="31" t="n">
        <x:f>IF(J25=0,0,T25/J25)</x:f>
        <x:v>0.22223779475565772</x:v>
      </x:c>
      <x:c r="V25" s="90" t="n">
        <x:f>F25*IFERROR(INDEX('Routing'!$P$2:$P$25,MATCH(A25,'Routing'!$A$2:$A$25,0)),0)</x:f>
        <x:v>42.76</x:v>
      </x:c>
      <x:c r="W25" s="28" t="n">
        <x:f>IF(V25=0,0,T25/V25)</x:f>
        <x:v>226.5114151028757</x:v>
      </x:c>
      <x:c r="X25" s="28" t="n">
        <x:f>F25*IFERROR(INDEX('Routing'!$R$2:$R$25,MATCH(A25,'Routing'!$A$2:$A$25,0)),0)</x:f>
        <x:v>1900.4444444444443</x:v>
      </x:c>
      <x:c r="Y25" s="28" t="n">
        <x:f>R25+F25*IFERROR(INDEX('Routing'!$S$2:$S$25,MATCH(A25,'Routing'!$A$2:$A$25,0)),0)+X25</x:f>
        <x:v>25591.94965742845</x:v>
      </x:c>
      <x:c r="Z25" s="28" t="n">
        <x:f>J25-Y25</x:f>
        <x:v>17990.322747892875</x:v>
      </x:c>
      <x:c r="AA25" s="31" t="n">
        <x:f>IF(J25=0,0,Z25/J25)</x:f>
        <x:v>0.4127899201900332</x:v>
      </x:c>
      <x:c r="AB25" s="28" t="n">
        <x:f>T25-X25</x:f>
        <x:v>7785.183665354521</x:v>
      </x:c>
      <x:c r="AC25" s="31" t="n">
        <x:f>IF(J25=0,0,AB25/J25)</x:f>
        <x:v>0.17863188942860084</x:v>
      </x:c>
      <x:c r="AD25" s="31" t="n">
        <x:f>IFERROR(IF(AND(INDEX('Product_Master'!$G$2:$G$25,MATCH(A25,'Product_Master'!$A$2:$A$25,0))&gt;0,INDEX('Product_Master'!$G$2:$G$25,MATCH(A25,'Product_Master'!$A$2:$A$25,0))&lt;1),INDEX('Product_Master'!$G$2:$G$25,MATCH(A25,'Product_Master'!$A$2:$A$25,0)),'Cost_Assumptions'!$B$13),'Cost_Assumptions'!$B$13)</x:f>
        <x:v>0.345</x:v>
      </x:c>
      <x:c r="AE25" s="28" t="n">
        <x:f>IF(OR(F25=0,J25=0,(1-AD25-M25/J25)&lt;=0),0,(Q25-M25/F25)/(1-AD25-M25/J25))</x:f>
        <x:v>31.004906893958665</x:v>
      </x:c>
      <x:c r="AF25" s="28" t="n">
        <x:f>MAX(0,AE25-K25)</x:f>
        <x:v>5.0630780812674026</x:v>
      </x:c>
      <x:c r="AG25" s="28" t="n">
        <x:f>AF25*F25</x:f>
        <x:v>8505.971176529236</x:v>
      </x:c>
      <x:c r="AH25" s="31" t="n">
        <x:f>IFERROR(INDEX('Routing'!$I$2:$I$25,MATCH(A25,'Routing'!$A$2:$A$25,0)),0)</x:f>
        <x:v>0.23386342376052385</x:v>
      </x:c>
      <x:c r="AI25" s="10" t="str">
        <x:f>IF(AJ25="REVIEW","DATA REVIEW",IF(E25="Yes","STRATEGIC REVIEW",IF(T25&lt;=0,"IMMEDIATE REVIEW",IF(U25&lt;AD25,"PRICE / COST REVIEW",IF(AH25&gt;'Cost_Assumptions'!$B$12,"BATCH / MOQ REVIEW",IF(W25&lt;'Cost_Assumptions'!$B$11,"CAPACITY DRAG",IF(AND(U25&gt;=AD25+'Cost_Assumptions'!$B$14,W25&gt;='Cost_Assumptions'!$B$11),"PROTECT &amp; GROW","MONITOR")))))))</x:f>
        <x:v>STRATEGIC REVIEW</x:v>
      </x:c>
      <x:c r="AJ25" s="10" t="str">
        <x:f>IF(OR(COUNTIF('BOM_Cost'!$A$2:$A$121,A25)=0,COUNTIF('Routing'!$A$2:$A$25,A25)=0,F25&lt;=0,K25&lt;=0,IFERROR(INDEX('Product_Master'!$N$2:$N$25,MATCH(A25,'Product_Master'!$A$2:$A$25,0)),"REVIEW")="REVIEW"),"REVIEW","OK")</x:f>
        <x:v>OK</x:v>
      </x:c>
      <x:c r="AK25" s="33" t="n">
        <x:f>IF(AI25="DATA REVIEW",8,IF(AI25="STRATEGIC REVIEW",7,IF(AI25="IMMEDIATE REVIEW",6,IF(AI25="PRICE / COST REVIEW",5,IF(AI25="CAPACITY DRAG",4,IF(AI25="BATCH / MOQ REVIEW",3,IF(AI25="PROTECT &amp; GROW",2,1)))))))+MIN(0.8,AG25/10000000)+MIN(0.1,ABS(MIN(T25,0))/10000000)+ROW()/100000000</x:f>
        <x:v>7.000850847117653</x:v>
      </x:c>
      <x:c r="AL25" s="93" t="n">
        <x:f>RANK(AK25,$AK$2:$AK$25,0)</x:f>
        <x:v>1</x:v>
      </x:c>
      <x:c r="AM25" s="93" t="n">
        <x:f>RANK(T25,$T$2:$T$25,0)</x:f>
        <x:v>19</x:v>
      </x:c>
      <x:c r="AN25" s="94" t="n">
        <x:f>RANK(AG25,$AG$2:$AG$25,0)</x:f>
        <x:v>9</x:v>
      </x:c>
    </x:row>
  </x:sheetData>
  <x:conditionalFormatting sqref="T2:T25">
    <x:cfRule type="cellIs" dxfId="1" priority="1" operator="lessThan">
      <x:formula>0</x:formula>
    </x:cfRule>
  </x:conditionalFormatting>
  <x:conditionalFormatting sqref="U2:U25">
    <x:cfRule type="colorScale" priority="2">
      <x:colorScale>
        <x:cfvo type="min"/>
        <x:cfvo type="percentile" val="50"/>
        <x:cfvo type="max"/>
        <x:color rgb="FFC7352B"/>
        <x:color rgb="FFF4D35E"/>
        <x:color rgb="FF2F7D5B"/>
      </x:colorScale>
    </x:cfRule>
  </x:conditionalFormatting>
  <x:conditionalFormatting sqref="AG2:AG25">
    <x:cfRule type="dataBar" priority="3">
      <x:dataBar>
        <x:cfvo type="min"/>
        <x:cfvo type="max"/>
        <x:color rgb="FFE77B20"/>
      </x:dataBar>
      <x:extLst>
        <x:ext xmlns:x14="http://schemas.microsoft.com/office/spreadsheetml/2009/9/main" uri="{B025F937-C7B1-47D3-B67F-A62EFF666E3E}">
          <x14:id>{815DA7FF-A49C-79DC-AFEA-F888EB3B83E7}</x14:id>
        </x:ext>
      </x:extLst>
    </x:cfRule>
  </x:conditionalFormatting>
  <x:conditionalFormatting sqref="AI2:AI25">
    <x:cfRule type="containsText" dxfId="2" priority="4" operator="containsText" text="IMMEDIATE"/>
    <x:cfRule type="containsText" dxfId="3" priority="5" operator="containsText" text="PROTECT"/>
  </x:conditionalFormatting>
  <x:pageMargins left="0.7" right="0.7" top="0.75" bottom="0.75" header="0.3" footer="0.3"/>
  <x:legacyDrawing xmlns:r="http://schemas.openxmlformats.org/officeDocument/2006/relationships" r:id="R1ad7d2817217466b"/>
  <x:tableParts count="1">
    <x:tablePart xmlns:r="http://schemas.openxmlformats.org/officeDocument/2006/relationships" r:id="R89a4a79618784f1e"/>
  </x:tableParts>
  <x:extLst>
    <x:ext xmlns:x14="http://schemas.microsoft.com/office/spreadsheetml/2009/9/main" xmlns:xm="http://schemas.microsoft.com/office/excel/2006/main" uri="{78C0D931-6437-407d-A8EE-F0AAD7539E65}">
      <x14:conditionalFormattings>
        <x14:conditionalFormatting>
          <x14:cfRule type="dataBar" priority="3" id="{815DA7FF-A49C-79DC-AFEA-F888EB3B83E7}">
            <x14:dataBar gradient="1">
              <x14:cfvo type="min"/>
              <x14:cfvo type="max"/>
              <x14:fillColor rgb="FFE77B20"/>
            </x14:dataBar>
          </x14:cfRule>
          <xm:sqref>AG2:AG25</xm:sqref>
        </x14:conditionalFormatting>
      </x14:conditionalFormattings>
    </x:ext>
  </x:extLst>
</x:worksheet>
</file>

<file path=xl/worksheets/sheet8.xml><?xml version="1.0" encoding="utf-8"?>
<x:worksheet xmlns:x="http://schemas.openxmlformats.org/spreadsheetml/2006/main">
  <x:sheetViews>
    <x:sheetView showGridLines="0" workbookViewId="0"/>
  </x:sheetViews>
  <x:sheetFormatPr defaultRowHeight="15"/>
  <x:cols>
    <x:col min="1" max="1" width="21" hidden="0" customWidth="1"/>
    <x:col min="2" max="2" width="11" hidden="0" customWidth="1"/>
    <x:col min="3" max="3" width="25" hidden="0" customWidth="1"/>
    <x:col min="4" max="4" width="13" hidden="0" customWidth="1"/>
    <x:col min="5" max="5" width="14" hidden="0" customWidth="1"/>
    <x:col min="6" max="6" width="16" hidden="0" customWidth="1"/>
    <x:col min="7" max="7" width="17" hidden="0" customWidth="1"/>
    <x:col min="8" max="8" width="17" hidden="0" customWidth="1"/>
    <x:col min="9" max="9" width="19" hidden="0" customWidth="1"/>
    <x:col min="10" max="10" width="21" hidden="0" customWidth="1"/>
    <x:col min="11" max="11" width="20" hidden="0" customWidth="1"/>
    <x:col min="12" max="12" width="20" hidden="0" customWidth="1"/>
    <x:col min="13" max="13" width="14" hidden="0" customWidth="1"/>
    <x:col min="14" max="14" width="32" hidden="0" customWidth="1"/>
  </x:cols>
  <x:sheetData>
    <x:row r="1" ht="30" customHeight="1">
      <x:c r="A1" s="20" t="str">
        <x:v>Customer</x:v>
      </x:c>
      <x:c r="B1" s="21" t="str">
        <x:v>SKU</x:v>
      </x:c>
      <x:c r="C1" s="21" t="str">
        <x:v>Description</x:v>
      </x:c>
      <x:c r="D1" s="21" t="str">
        <x:v>Units Shipped</x:v>
      </x:c>
      <x:c r="E1" s="21" t="str">
        <x:v>Net Sales</x:v>
      </x:c>
      <x:c r="F1" s="21" t="str">
        <x:v>Avg Net Price</x:v>
      </x:c>
      <x:c r="G1" s="21" t="str">
        <x:v>Outbound Freight</x:v>
      </x:c>
      <x:c r="H1" s="21" t="str">
        <x:v>Commission / Fees</x:v>
      </x:c>
      <x:c r="I1" s="21" t="str">
        <x:v>Material Cost / Unit</x:v>
      </x:c>
      <x:c r="J1" s="21" t="str">
        <x:v>Conversion Cost / Unit</x:v>
      </x:c>
      <x:c r="K1" s="21" t="str">
        <x:v>Contribution Margin $</x:v>
      </x:c>
      <x:c r="L1" s="21" t="str">
        <x:v>Contribution Margin %</x:v>
      </x:c>
      <x:c r="M1" s="21" t="str">
        <x:v>Target CM %</x:v>
      </x:c>
      <x:c r="N1" s="21" t="str">
        <x:v>Customer-SKU Review</x:v>
      </x:c>
    </x:row>
    <x:row r="2">
      <x:c r="A2" s="6" t="str">
        <x:v>Sample Customer A</x:v>
      </x:c>
      <x:c r="B2" s="7" t="str">
        <x:v>FG-001</x:v>
      </x:c>
      <x:c r="C2" s="7" t="str">
        <x:f>IFERROR(INDEX('Product_Master'!$B$2:$B$25,MATCH(B2,'Product_Master'!$A$2:$A$25,0)),"")</x:f>
        <x:v>Shield White Product</x:v>
      </x:c>
      <x:c r="D2" s="24" t="n">
        <x:f>SUMIFS('Sales_Detail'!$E$2:$E$289,'Sales_Detail'!$C$2:$C$289,A2,'Sales_Detail'!$D$2:$D$289,B2,'Sales_Detail'!$A$2:$A$289,"&gt;="&amp;'Cost_Assumptions'!$B$6,'Sales_Detail'!$A$2:$A$289,"&lt;="&amp;'Cost_Assumptions'!$B$7)</x:f>
        <x:v>500</x:v>
      </x:c>
      <x:c r="E2" s="26" t="n">
        <x:f>SUMIFS('Sales_Detail'!$I$2:$I$289,'Sales_Detail'!$C$2:$C$289,A2,'Sales_Detail'!$D$2:$D$289,B2,'Sales_Detail'!$A$2:$A$289,"&gt;="&amp;'Cost_Assumptions'!$B$6,'Sales_Detail'!$A$2:$A$289,"&lt;="&amp;'Cost_Assumptions'!$B$7)</x:f>
        <x:v>6952.206326874039</x:v>
      </x:c>
      <x:c r="F2" s="26" t="n">
        <x:f>IF(D2=0,0,E2/D2)</x:f>
        <x:v>13.904412653748079</x:v>
      </x:c>
      <x:c r="G2" s="26" t="n">
        <x:f>SUMIFS('Sales_Detail'!$J$2:$J$289,'Sales_Detail'!$C$2:$C$289,A2,'Sales_Detail'!$D$2:$D$289,B2,'Sales_Detail'!$A$2:$A$289,"&gt;="&amp;'Cost_Assumptions'!$B$6,'Sales_Detail'!$A$2:$A$289,"&lt;="&amp;'Cost_Assumptions'!$B$7)</x:f>
        <x:v>1125</x:v>
      </x:c>
      <x:c r="H2" s="26" t="n">
        <x:f>SUMIFS('Sales_Detail'!$K$2:$K$289,'Sales_Detail'!$C$2:$C$289,A2,'Sales_Detail'!$D$2:$D$289,B2,'Sales_Detail'!$A$2:$A$289,"&gt;="&amp;'Cost_Assumptions'!$B$6,'Sales_Detail'!$A$2:$A$289,"&lt;="&amp;'Cost_Assumptions'!$B$7)</x:f>
        <x:v>125.1397138837327</x:v>
      </x:c>
      <x:c r="I2" s="26" t="n">
        <x:f>IFERROR(INDEX('SKU_Profitability'!$N$2:$N$25,MATCH(B2,'SKU_Profitability'!$A$2:$A$25,0)),0)</x:f>
        <x:v>11.035428631999999</x:v>
      </x:c>
      <x:c r="J2" s="26" t="n">
        <x:f>IFERROR(INDEX('SKU_Profitability'!$O$2:$O$25,MATCH(B2,'SKU_Profitability'!$A$2:$A$25,0)),0)+IFERROR(INDEX('SKU_Profitability'!$P$2:$P$25,MATCH(B2,'SKU_Profitability'!$A$2:$A$25,0)),0)</x:f>
        <x:v>1.2848958333333333</x:v>
      </x:c>
      <x:c r="K2" s="26" t="n">
        <x:f>E2-G2-H2-D2*(I2+J2)</x:f>
        <x:v>-458.0956196763591</x:v>
      </x:c>
      <x:c r="L2" s="30" t="n">
        <x:f>IF(E2=0,0,K2/E2)</x:f>
        <x:v>-0.06589212088047094</x:v>
      </x:c>
      <x:c r="M2" s="30" t="n">
        <x:f>IFERROR(INDEX('SKU_Profitability'!$AD$2:$AD$25,MATCH(B2,'SKU_Profitability'!$A$2:$A$25,0)),0)</x:f>
        <x:v>0.3</x:v>
      </x:c>
      <x:c r="N2" s="8" t="str">
        <x:f>IF(D2=0,"NO SALES",IF(K2&lt;=0,"IMMEDIATE REVIEW",IF(AND(E2&gt;0,G2/E2&gt;'Cost_Assumptions'!$B$15),"FREIGHT / CUSTOMER REVIEW",IF(L2&lt;M2,"PRICE / COST REVIEW","MONITOR"))))</x:f>
        <x:v>IMMEDIATE REVIEW</x:v>
      </x:c>
    </x:row>
    <x:row r="3">
      <x:c r="A3" s="6" t="str">
        <x:v>Sample Customer C</x:v>
      </x:c>
      <x:c r="B3" s="7" t="str">
        <x:v>FG-001</x:v>
      </x:c>
      <x:c r="C3" s="7" t="str">
        <x:f>IFERROR(INDEX('Product_Master'!$B$2:$B$25,MATCH(B3,'Product_Master'!$A$2:$A$25,0)),"")</x:f>
        <x:v>Shield White Product</x:v>
      </x:c>
      <x:c r="D3" s="24" t="n">
        <x:f>SUMIFS('Sales_Detail'!$E$2:$E$289,'Sales_Detail'!$C$2:$C$289,A3,'Sales_Detail'!$D$2:$D$289,B3,'Sales_Detail'!$A$2:$A$289,"&gt;="&amp;'Cost_Assumptions'!$B$6,'Sales_Detail'!$A$2:$A$289,"&lt;="&amp;'Cost_Assumptions'!$B$7)</x:f>
        <x:v>540</x:v>
      </x:c>
      <x:c r="E3" s="26" t="n">
        <x:f>SUMIFS('Sales_Detail'!$I$2:$I$289,'Sales_Detail'!$C$2:$C$289,A3,'Sales_Detail'!$D$2:$D$289,B3,'Sales_Detail'!$A$2:$A$289,"&gt;="&amp;'Cost_Assumptions'!$B$6,'Sales_Detail'!$A$2:$A$289,"&lt;="&amp;'Cost_Assumptions'!$B$7)</x:f>
        <x:v>7779.837461598876</x:v>
      </x:c>
      <x:c r="F3" s="26" t="n">
        <x:f>IF(D3=0,0,E3/D3)</x:f>
        <x:v>14.40710641036829</x:v>
      </x:c>
      <x:c r="G3" s="26" t="n">
        <x:f>SUMIFS('Sales_Detail'!$J$2:$J$289,'Sales_Detail'!$C$2:$C$289,A3,'Sales_Detail'!$D$2:$D$289,B3,'Sales_Detail'!$A$2:$A$289,"&gt;="&amp;'Cost_Assumptions'!$B$6,'Sales_Detail'!$A$2:$A$289,"&lt;="&amp;'Cost_Assumptions'!$B$7)</x:f>
        <x:v>1215</x:v>
      </x:c>
      <x:c r="H3" s="26" t="n">
        <x:f>SUMIFS('Sales_Detail'!$K$2:$K$289,'Sales_Detail'!$C$2:$C$289,A3,'Sales_Detail'!$D$2:$D$289,B3,'Sales_Detail'!$A$2:$A$289,"&gt;="&amp;'Cost_Assumptions'!$B$6,'Sales_Detail'!$A$2:$A$289,"&lt;="&amp;'Cost_Assumptions'!$B$7)</x:f>
        <x:v>140.03707430877975</x:v>
      </x:c>
      <x:c r="I3" s="26" t="n">
        <x:f>IFERROR(INDEX('SKU_Profitability'!$N$2:$N$25,MATCH(B3,'SKU_Profitability'!$A$2:$A$25,0)),0)</x:f>
        <x:v>11.035428631999999</x:v>
      </x:c>
      <x:c r="J3" s="26" t="n">
        <x:f>IFERROR(INDEX('SKU_Profitability'!$O$2:$O$25,MATCH(B3,'SKU_Profitability'!$A$2:$A$25,0)),0)+IFERROR(INDEX('SKU_Profitability'!$P$2:$P$25,MATCH(B3,'SKU_Profitability'!$A$2:$A$25,0)),0)</x:f>
        <x:v>1.2848958333333333</x:v>
      </x:c>
      <x:c r="K3" s="26" t="n">
        <x:f>E3-G3-H3-D3*(I3+J3)</x:f>
        <x:v>-228.17482398990342</x:v>
      </x:c>
      <x:c r="L3" s="30" t="n">
        <x:f>IF(E3=0,0,K3/E3)</x:f>
        <x:v>-0.02932899628252773</x:v>
      </x:c>
      <x:c r="M3" s="30" t="n">
        <x:f>IFERROR(INDEX('SKU_Profitability'!$AD$2:$AD$25,MATCH(B3,'SKU_Profitability'!$A$2:$A$25,0)),0)</x:f>
        <x:v>0.3</x:v>
      </x:c>
      <x:c r="N3" s="8" t="str">
        <x:f>IF(D3=0,"NO SALES",IF(K3&lt;=0,"IMMEDIATE REVIEW",IF(AND(E3&gt;0,G3/E3&gt;'Cost_Assumptions'!$B$15),"FREIGHT / CUSTOMER REVIEW",IF(L3&lt;M3,"PRICE / COST REVIEW","MONITOR"))))</x:f>
        <x:v>IMMEDIATE REVIEW</x:v>
      </x:c>
    </x:row>
    <x:row r="4">
      <x:c r="A4" s="6" t="str">
        <x:v>Sample Customer E</x:v>
      </x:c>
      <x:c r="B4" s="7" t="str">
        <x:v>FG-001</x:v>
      </x:c>
      <x:c r="C4" s="7" t="str">
        <x:f>IFERROR(INDEX('Product_Master'!$B$2:$B$25,MATCH(B4,'Product_Master'!$A$2:$A$25,0)),"")</x:f>
        <x:v>Shield White Product</x:v>
      </x:c>
      <x:c r="D4" s="24" t="n">
        <x:f>SUMIFS('Sales_Detail'!$E$2:$E$289,'Sales_Detail'!$C$2:$C$289,A4,'Sales_Detail'!$D$2:$D$289,B4,'Sales_Detail'!$A$2:$A$289,"&gt;="&amp;'Cost_Assumptions'!$B$6,'Sales_Detail'!$A$2:$A$289,"&lt;="&amp;'Cost_Assumptions'!$B$7)</x:f>
        <x:v>580</x:v>
      </x:c>
      <x:c r="E4" s="26" t="n">
        <x:f>SUMIFS('Sales_Detail'!$I$2:$I$289,'Sales_Detail'!$C$2:$C$289,A4,'Sales_Detail'!$D$2:$D$289,B4,'Sales_Detail'!$A$2:$A$289,"&gt;="&amp;'Cost_Assumptions'!$B$6,'Sales_Detail'!$A$2:$A$289,"&lt;="&amp;'Cost_Assumptions'!$B$7)</x:f>
        <x:v>8606.805369554017</x:v>
      </x:c>
      <x:c r="F4" s="26" t="n">
        <x:f>IF(D4=0,0,E4/D4)</x:f>
        <x:v>14.839319602679339</x:v>
      </x:c>
      <x:c r="G4" s="26" t="n">
        <x:f>SUMIFS('Sales_Detail'!$J$2:$J$289,'Sales_Detail'!$C$2:$C$289,A4,'Sales_Detail'!$D$2:$D$289,B4,'Sales_Detail'!$A$2:$A$289,"&gt;="&amp;'Cost_Assumptions'!$B$6,'Sales_Detail'!$A$2:$A$289,"&lt;="&amp;'Cost_Assumptions'!$B$7)</x:f>
        <x:v>1539.8999999999999</x:v>
      </x:c>
      <x:c r="H4" s="26" t="n">
        <x:f>SUMIFS('Sales_Detail'!$K$2:$K$289,'Sales_Detail'!$C$2:$C$289,A4,'Sales_Detail'!$D$2:$D$289,B4,'Sales_Detail'!$A$2:$A$289,"&gt;="&amp;'Cost_Assumptions'!$B$6,'Sales_Detail'!$A$2:$A$289,"&lt;="&amp;'Cost_Assumptions'!$B$7)</x:f>
        <x:v>154.92249665197227</x:v>
      </x:c>
      <x:c r="I4" s="26" t="n">
        <x:f>IFERROR(INDEX('SKU_Profitability'!$N$2:$N$25,MATCH(B4,'SKU_Profitability'!$A$2:$A$25,0)),0)</x:f>
        <x:v>11.035428631999999</x:v>
      </x:c>
      <x:c r="J4" s="26" t="n">
        <x:f>IFERROR(INDEX('SKU_Profitability'!$O$2:$O$25,MATCH(B4,'SKU_Profitability'!$A$2:$A$25,0)),0)+IFERROR(INDEX('SKU_Profitability'!$P$2:$P$25,MATCH(B4,'SKU_Profitability'!$A$2:$A$25,0)),0)</x:f>
        <x:v>1.2848958333333333</x:v>
      </x:c>
      <x:c r="K4" s="26" t="n">
        <x:f>E4-G4-H4-D4*(I4+J4)</x:f>
        <x:v>-233.80531699128824</x:v>
      </x:c>
      <x:c r="L4" s="30" t="n">
        <x:f>IF(E4=0,0,K4/E4)</x:f>
        <x:v>-0.027165168369945775</x:v>
      </x:c>
      <x:c r="M4" s="30" t="n">
        <x:f>IFERROR(INDEX('SKU_Profitability'!$AD$2:$AD$25,MATCH(B4,'SKU_Profitability'!$A$2:$A$25,0)),0)</x:f>
        <x:v>0.3</x:v>
      </x:c>
      <x:c r="N4" s="8" t="str">
        <x:f>IF(D4=0,"NO SALES",IF(K4&lt;=0,"IMMEDIATE REVIEW",IF(AND(E4&gt;0,G4/E4&gt;'Cost_Assumptions'!$B$15),"FREIGHT / CUSTOMER REVIEW",IF(L4&lt;M4,"PRICE / COST REVIEW","MONITOR"))))</x:f>
        <x:v>IMMEDIATE REVIEW</x:v>
      </x:c>
    </x:row>
    <x:row r="5">
      <x:c r="A5" s="6" t="str">
        <x:v>Sample Customer B</x:v>
      </x:c>
      <x:c r="B5" s="7" t="str">
        <x:v>FG-002</x:v>
      </x:c>
      <x:c r="C5" s="7" t="str">
        <x:f>IFERROR(INDEX('Product_Master'!$B$2:$B$25,MATCH(B5,'Product_Master'!$A$2:$A$25,0)),"")</x:f>
        <x:v>Shield Black Product</x:v>
      </x:c>
      <x:c r="D5" s="24" t="n">
        <x:f>SUMIFS('Sales_Detail'!$E$2:$E$289,'Sales_Detail'!$C$2:$C$289,A5,'Sales_Detail'!$D$2:$D$289,B5,'Sales_Detail'!$A$2:$A$289,"&gt;="&amp;'Cost_Assumptions'!$B$6,'Sales_Detail'!$A$2:$A$289,"&lt;="&amp;'Cost_Assumptions'!$B$7)</x:f>
        <x:v>1050</x:v>
      </x:c>
      <x:c r="E5" s="26" t="n">
        <x:f>SUMIFS('Sales_Detail'!$I$2:$I$289,'Sales_Detail'!$C$2:$C$289,A5,'Sales_Detail'!$D$2:$D$289,B5,'Sales_Detail'!$A$2:$A$289,"&gt;="&amp;'Cost_Assumptions'!$B$6,'Sales_Detail'!$A$2:$A$289,"&lt;="&amp;'Cost_Assumptions'!$B$7)</x:f>
        <x:v>18474.15410981435</x:v>
      </x:c>
      <x:c r="F5" s="26" t="n">
        <x:f>IF(D5=0,0,E5/D5)</x:f>
        <x:v>17.594432485537475</x:v>
      </x:c>
      <x:c r="G5" s="26" t="n">
        <x:f>SUMIFS('Sales_Detail'!$J$2:$J$289,'Sales_Detail'!$C$2:$C$289,A5,'Sales_Detail'!$D$2:$D$289,B5,'Sales_Detail'!$A$2:$A$289,"&gt;="&amp;'Cost_Assumptions'!$B$6,'Sales_Detail'!$A$2:$A$289,"&lt;="&amp;'Cost_Assumptions'!$B$7)</x:f>
        <x:v>3255</x:v>
      </x:c>
      <x:c r="H5" s="26" t="n">
        <x:f>SUMIFS('Sales_Detail'!$K$2:$K$289,'Sales_Detail'!$C$2:$C$289,A5,'Sales_Detail'!$D$2:$D$289,B5,'Sales_Detail'!$A$2:$A$289,"&gt;="&amp;'Cost_Assumptions'!$B$6,'Sales_Detail'!$A$2:$A$289,"&lt;="&amp;'Cost_Assumptions'!$B$7)</x:f>
        <x:v>406.4313904159157</x:v>
      </x:c>
      <x:c r="I5" s="26" t="n">
        <x:f>IFERROR(INDEX('SKU_Profitability'!$N$2:$N$25,MATCH(B5,'SKU_Profitability'!$A$2:$A$25,0)),0)</x:f>
        <x:v>9.803123702499999</x:v>
      </x:c>
      <x:c r="J5" s="26" t="n">
        <x:f>IFERROR(INDEX('SKU_Profitability'!$O$2:$O$25,MATCH(B5,'SKU_Profitability'!$A$2:$A$25,0)),0)+IFERROR(INDEX('SKU_Profitability'!$P$2:$P$25,MATCH(B5,'SKU_Profitability'!$A$2:$A$25,0)),0)</x:f>
        <x:v>1.27295</x:v>
      </x:c>
      <x:c r="K5" s="26" t="n">
        <x:f>E5-G5-H5-D5*(I5+J5)</x:f>
        <x:v>3182.8453317734366</x:v>
      </x:c>
      <x:c r="L5" s="30" t="n">
        <x:f>IF(E5=0,0,K5/E5)</x:f>
        <x:v>0.17228639064359422</x:v>
      </x:c>
      <x:c r="M5" s="30" t="n">
        <x:f>IFERROR(INDEX('SKU_Profitability'!$AD$2:$AD$25,MATCH(B5,'SKU_Profitability'!$A$2:$A$25,0)),0)</x:f>
        <x:v>0.315</x:v>
      </x:c>
      <x:c r="N5" s="8" t="str">
        <x:f>IF(D5=0,"NO SALES",IF(K5&lt;=0,"IMMEDIATE REVIEW",IF(AND(E5&gt;0,G5/E5&gt;'Cost_Assumptions'!$B$15),"FREIGHT / CUSTOMER REVIEW",IF(L5&lt;M5,"PRICE / COST REVIEW","MONITOR"))))</x:f>
        <x:v>FREIGHT / CUSTOMER REVIEW</x:v>
      </x:c>
    </x:row>
    <x:row r="6">
      <x:c r="A6" s="6" t="str">
        <x:v>Sample Customer D</x:v>
      </x:c>
      <x:c r="B6" s="7" t="str">
        <x:v>FG-002</x:v>
      </x:c>
      <x:c r="C6" s="7" t="str">
        <x:f>IFERROR(INDEX('Product_Master'!$B$2:$B$25,MATCH(B6,'Product_Master'!$A$2:$A$25,0)),"")</x:f>
        <x:v>Shield Black Product</x:v>
      </x:c>
      <x:c r="D6" s="24" t="n">
        <x:f>SUMIFS('Sales_Detail'!$E$2:$E$289,'Sales_Detail'!$C$2:$C$289,A6,'Sales_Detail'!$D$2:$D$289,B6,'Sales_Detail'!$A$2:$A$289,"&gt;="&amp;'Cost_Assumptions'!$B$6,'Sales_Detail'!$A$2:$A$289,"&lt;="&amp;'Cost_Assumptions'!$B$7)</x:f>
        <x:v>1120</x:v>
      </x:c>
      <x:c r="E6" s="26" t="n">
        <x:f>SUMIFS('Sales_Detail'!$I$2:$I$289,'Sales_Detail'!$C$2:$C$289,A6,'Sales_Detail'!$D$2:$D$289,B6,'Sales_Detail'!$A$2:$A$289,"&gt;="&amp;'Cost_Assumptions'!$B$6,'Sales_Detail'!$A$2:$A$289,"&lt;="&amp;'Cost_Assumptions'!$B$7)</x:f>
        <x:v>20315.22101422884</x:v>
      </x:c>
      <x:c r="F6" s="26" t="n">
        <x:f>IF(D6=0,0,E6/D6)</x:f>
        <x:v>18.13859019127575</x:v>
      </x:c>
      <x:c r="G6" s="26" t="n">
        <x:f>SUMIFS('Sales_Detail'!$J$2:$J$289,'Sales_Detail'!$C$2:$C$289,A6,'Sales_Detail'!$D$2:$D$289,B6,'Sales_Detail'!$A$2:$A$289,"&gt;="&amp;'Cost_Assumptions'!$B$6,'Sales_Detail'!$A$2:$A$289,"&lt;="&amp;'Cost_Assumptions'!$B$7)</x:f>
        <x:v>3472</x:v>
      </x:c>
      <x:c r="H6" s="26" t="n">
        <x:f>SUMIFS('Sales_Detail'!$K$2:$K$289,'Sales_Detail'!$C$2:$C$289,A6,'Sales_Detail'!$D$2:$D$289,B6,'Sales_Detail'!$A$2:$A$289,"&gt;="&amp;'Cost_Assumptions'!$B$6,'Sales_Detail'!$A$2:$A$289,"&lt;="&amp;'Cost_Assumptions'!$B$7)</x:f>
        <x:v>446.9348623130344</x:v>
      </x:c>
      <x:c r="I6" s="26" t="n">
        <x:f>IFERROR(INDEX('SKU_Profitability'!$N$2:$N$25,MATCH(B6,'SKU_Profitability'!$A$2:$A$25,0)),0)</x:f>
        <x:v>9.803123702499999</x:v>
      </x:c>
      <x:c r="J6" s="26" t="n">
        <x:f>IFERROR(INDEX('SKU_Profitability'!$O$2:$O$25,MATCH(B6,'SKU_Profitability'!$A$2:$A$25,0)),0)+IFERROR(INDEX('SKU_Profitability'!$P$2:$P$25,MATCH(B6,'SKU_Profitability'!$A$2:$A$25,0)),0)</x:f>
        <x:v>1.27295</x:v>
      </x:c>
      <x:c r="K6" s="26" t="n">
        <x:f>E6-G6-H6-D6*(I6+J6)</x:f>
        <x:v>3991.083605115804</x:v>
      </x:c>
      <x:c r="L6" s="30" t="n">
        <x:f>IF(E6=0,0,K6/E6)</x:f>
        <x:v>0.19645779892428625</x:v>
      </x:c>
      <x:c r="M6" s="30" t="n">
        <x:f>IFERROR(INDEX('SKU_Profitability'!$AD$2:$AD$25,MATCH(B6,'SKU_Profitability'!$A$2:$A$25,0)),0)</x:f>
        <x:v>0.315</x:v>
      </x:c>
      <x:c r="N6" s="8" t="str">
        <x:f>IF(D6=0,"NO SALES",IF(K6&lt;=0,"IMMEDIATE REVIEW",IF(AND(E6&gt;0,G6/E6&gt;'Cost_Assumptions'!$B$15),"FREIGHT / CUSTOMER REVIEW",IF(L6&lt;M6,"PRICE / COST REVIEW","MONITOR"))))</x:f>
        <x:v>FREIGHT / CUSTOMER REVIEW</x:v>
      </x:c>
    </x:row>
    <x:row r="7">
      <x:c r="A7" s="6" t="str">
        <x:v>Sample Customer F</x:v>
      </x:c>
      <x:c r="B7" s="7" t="str">
        <x:v>FG-002</x:v>
      </x:c>
      <x:c r="C7" s="7" t="str">
        <x:f>IFERROR(INDEX('Product_Master'!$B$2:$B$25,MATCH(B7,'Product_Master'!$A$2:$A$25,0)),"")</x:f>
        <x:v>Shield Black Product</x:v>
      </x:c>
      <x:c r="D7" s="24" t="n">
        <x:f>SUMIFS('Sales_Detail'!$E$2:$E$289,'Sales_Detail'!$C$2:$C$289,A7,'Sales_Detail'!$D$2:$D$289,B7,'Sales_Detail'!$A$2:$A$289,"&gt;="&amp;'Cost_Assumptions'!$B$6,'Sales_Detail'!$A$2:$A$289,"&lt;="&amp;'Cost_Assumptions'!$B$7)</x:f>
        <x:v>970</x:v>
      </x:c>
      <x:c r="E7" s="26" t="n">
        <x:f>SUMIFS('Sales_Detail'!$I$2:$I$289,'Sales_Detail'!$C$2:$C$289,A7,'Sales_Detail'!$D$2:$D$289,B7,'Sales_Detail'!$A$2:$A$289,"&gt;="&amp;'Cost_Assumptions'!$B$6,'Sales_Detail'!$A$2:$A$289,"&lt;="&amp;'Cost_Assumptions'!$B$7)</x:f>
        <x:v>18083.655478413246</x:v>
      </x:c>
      <x:c r="F7" s="26" t="n">
        <x:f>IF(D7=0,0,E7/D7)</x:f>
        <x:v>18.642943792178603</x:v>
      </x:c>
      <x:c r="G7" s="26" t="n">
        <x:f>SUMIFS('Sales_Detail'!$J$2:$J$289,'Sales_Detail'!$C$2:$C$289,A7,'Sales_Detail'!$D$2:$D$289,B7,'Sales_Detail'!$A$2:$A$289,"&gt;="&amp;'Cost_Assumptions'!$B$6,'Sales_Detail'!$A$2:$A$289,"&lt;="&amp;'Cost_Assumptions'!$B$7)</x:f>
        <x:v>4059.4500000000003</x:v>
      </x:c>
      <x:c r="H7" s="26" t="n">
        <x:f>SUMIFS('Sales_Detail'!$K$2:$K$289,'Sales_Detail'!$C$2:$C$289,A7,'Sales_Detail'!$D$2:$D$289,B7,'Sales_Detail'!$A$2:$A$289,"&gt;="&amp;'Cost_Assumptions'!$B$6,'Sales_Detail'!$A$2:$A$289,"&lt;="&amp;'Cost_Assumptions'!$B$7)</x:f>
        <x:v>397.8404205250914</x:v>
      </x:c>
      <x:c r="I7" s="26" t="n">
        <x:f>IFERROR(INDEX('SKU_Profitability'!$N$2:$N$25,MATCH(B7,'SKU_Profitability'!$A$2:$A$25,0)),0)</x:f>
        <x:v>9.803123702499999</x:v>
      </x:c>
      <x:c r="J7" s="26" t="n">
        <x:f>IFERROR(INDEX('SKU_Profitability'!$O$2:$O$25,MATCH(B7,'SKU_Profitability'!$A$2:$A$25,0)),0)+IFERROR(INDEX('SKU_Profitability'!$P$2:$P$25,MATCH(B7,'SKU_Profitability'!$A$2:$A$25,0)),0)</x:f>
        <x:v>1.27295</x:v>
      </x:c>
      <x:c r="K7" s="26" t="n">
        <x:f>E7-G7-H7-D7*(I7+J7)</x:f>
        <x:v>2882.573566463154</x:v>
      </x:c>
      <x:c r="L7" s="30" t="n">
        <x:f>IF(E7=0,0,K7/E7)</x:f>
        <x:v>0.15940215018496282</x:v>
      </x:c>
      <x:c r="M7" s="30" t="n">
        <x:f>IFERROR(INDEX('SKU_Profitability'!$AD$2:$AD$25,MATCH(B7,'SKU_Profitability'!$A$2:$A$25,0)),0)</x:f>
        <x:v>0.315</x:v>
      </x:c>
      <x:c r="N7" s="8" t="str">
        <x:f>IF(D7=0,"NO SALES",IF(K7&lt;=0,"IMMEDIATE REVIEW",IF(AND(E7&gt;0,G7/E7&gt;'Cost_Assumptions'!$B$15),"FREIGHT / CUSTOMER REVIEW",IF(L7&lt;M7,"PRICE / COST REVIEW","MONITOR"))))</x:f>
        <x:v>FREIGHT / CUSTOMER REVIEW</x:v>
      </x:c>
    </x:row>
    <x:row r="8">
      <x:c r="A8" s="6" t="str">
        <x:v>Sample Customer C</x:v>
      </x:c>
      <x:c r="B8" s="7" t="str">
        <x:v>FG-003</x:v>
      </x:c>
      <x:c r="C8" s="7" t="str">
        <x:f>IFERROR(INDEX('Product_Master'!$B$2:$B$25,MATCH(B8,'Product_Master'!$A$2:$A$25,0)),"")</x:f>
        <x:v>Shield Tan Product</x:v>
      </x:c>
      <x:c r="D8" s="24" t="n">
        <x:f>SUMIFS('Sales_Detail'!$E$2:$E$289,'Sales_Detail'!$C$2:$C$289,A8,'Sales_Detail'!$D$2:$D$289,B8,'Sales_Detail'!$A$2:$A$289,"&gt;="&amp;'Cost_Assumptions'!$B$6,'Sales_Detail'!$A$2:$A$289,"&lt;="&amp;'Cost_Assumptions'!$B$7)</x:f>
        <x:v>510</x:v>
      </x:c>
      <x:c r="E8" s="26" t="n">
        <x:f>SUMIFS('Sales_Detail'!$I$2:$I$289,'Sales_Detail'!$C$2:$C$289,A8,'Sales_Detail'!$D$2:$D$289,B8,'Sales_Detail'!$A$2:$A$289,"&gt;="&amp;'Cost_Assumptions'!$B$6,'Sales_Detail'!$A$2:$A$289,"&lt;="&amp;'Cost_Assumptions'!$B$7)</x:f>
        <x:v>17292.334028184137</x:v>
      </x:c>
      <x:c r="F8" s="26" t="n">
        <x:f>IF(D8=0,0,E8/D8)</x:f>
        <x:v>33.90653731016498</x:v>
      </x:c>
      <x:c r="G8" s="26" t="n">
        <x:f>SUMIFS('Sales_Detail'!$J$2:$J$289,'Sales_Detail'!$C$2:$C$289,A8,'Sales_Detail'!$D$2:$D$289,B8,'Sales_Detail'!$A$2:$A$289,"&gt;="&amp;'Cost_Assumptions'!$B$6,'Sales_Detail'!$A$2:$A$289,"&lt;="&amp;'Cost_Assumptions'!$B$7)</x:f>
        <x:v>2779.5</x:v>
      </x:c>
      <x:c r="H8" s="26" t="n">
        <x:f>SUMIFS('Sales_Detail'!$K$2:$K$289,'Sales_Detail'!$C$2:$C$289,A8,'Sales_Detail'!$D$2:$D$289,B8,'Sales_Detail'!$A$2:$A$289,"&gt;="&amp;'Cost_Assumptions'!$B$6,'Sales_Detail'!$A$2:$A$289,"&lt;="&amp;'Cost_Assumptions'!$B$7)</x:f>
        <x:v>449.60068473278756</x:v>
      </x:c>
      <x:c r="I8" s="26" t="n">
        <x:f>IFERROR(INDEX('SKU_Profitability'!$N$2:$N$25,MATCH(B8,'SKU_Profitability'!$A$2:$A$25,0)),0)</x:f>
        <x:v>10.59672844</x:v>
      </x:c>
      <x:c r="J8" s="26" t="n">
        <x:f>IFERROR(INDEX('SKU_Profitability'!$O$2:$O$25,MATCH(B8,'SKU_Profitability'!$A$2:$A$25,0)),0)+IFERROR(INDEX('SKU_Profitability'!$P$2:$P$25,MATCH(B8,'SKU_Profitability'!$A$2:$A$25,0)),0)</x:f>
        <x:v>5.55</x:v>
      </x:c>
      <x:c r="K8" s="26" t="n">
        <x:f>E8-G8-H8-D8*(I8+J8)</x:f>
        <x:v>5828.401839051348</x:v>
      </x:c>
      <x:c r="L8" s="30" t="n">
        <x:f>IF(E8=0,0,K8/E8)</x:f>
        <x:v>0.3370511944513593</x:v>
      </x:c>
      <x:c r="M8" s="30" t="n">
        <x:f>IFERROR(INDEX('SKU_Profitability'!$AD$2:$AD$25,MATCH(B8,'SKU_Profitability'!$A$2:$A$25,0)),0)</x:f>
        <x:v>0.32999999999999996</x:v>
      </x:c>
      <x:c r="N8" s="8" t="str">
        <x:f>IF(D8=0,"NO SALES",IF(K8&lt;=0,"IMMEDIATE REVIEW",IF(AND(E8&gt;0,G8/E8&gt;'Cost_Assumptions'!$B$15),"FREIGHT / CUSTOMER REVIEW",IF(L8&lt;M8,"PRICE / COST REVIEW","MONITOR"))))</x:f>
        <x:v>FREIGHT / CUSTOMER REVIEW</x:v>
      </x:c>
    </x:row>
    <x:row r="9">
      <x:c r="A9" s="6" t="str">
        <x:v>Sample Customer E</x:v>
      </x:c>
      <x:c r="B9" s="7" t="str">
        <x:v>FG-003</x:v>
      </x:c>
      <x:c r="C9" s="7" t="str">
        <x:f>IFERROR(INDEX('Product_Master'!$B$2:$B$25,MATCH(B9,'Product_Master'!$A$2:$A$25,0)),"")</x:f>
        <x:v>Shield Tan Product</x:v>
      </x:c>
      <x:c r="D9" s="24" t="n">
        <x:f>SUMIFS('Sales_Detail'!$E$2:$E$289,'Sales_Detail'!$C$2:$C$289,A9,'Sales_Detail'!$D$2:$D$289,B9,'Sales_Detail'!$A$2:$A$289,"&gt;="&amp;'Cost_Assumptions'!$B$6,'Sales_Detail'!$A$2:$A$289,"&lt;="&amp;'Cost_Assumptions'!$B$7)</x:f>
        <x:v>440</x:v>
      </x:c>
      <x:c r="E9" s="26" t="n">
        <x:f>SUMIFS('Sales_Detail'!$I$2:$I$289,'Sales_Detail'!$C$2:$C$289,A9,'Sales_Detail'!$D$2:$D$289,B9,'Sales_Detail'!$A$2:$A$289,"&gt;="&amp;'Cost_Assumptions'!$B$6,'Sales_Detail'!$A$2:$A$289,"&lt;="&amp;'Cost_Assumptions'!$B$7)</x:f>
        <x:v>15354.708882222094</x:v>
      </x:c>
      <x:c r="F9" s="26" t="n">
        <x:f>IF(D9=0,0,E9/D9)</x:f>
        <x:v>34.89706564141385</x:v>
      </x:c>
      <x:c r="G9" s="26" t="n">
        <x:f>SUMIFS('Sales_Detail'!$J$2:$J$289,'Sales_Detail'!$C$2:$C$289,A9,'Sales_Detail'!$D$2:$D$289,B9,'Sales_Detail'!$A$2:$A$289,"&gt;="&amp;'Cost_Assumptions'!$B$6,'Sales_Detail'!$A$2:$A$289,"&lt;="&amp;'Cost_Assumptions'!$B$7)</x:f>
        <x:v>2829.6399999999994</x:v>
      </x:c>
      <x:c r="H9" s="26" t="n">
        <x:f>SUMIFS('Sales_Detail'!$K$2:$K$289,'Sales_Detail'!$C$2:$C$289,A9,'Sales_Detail'!$D$2:$D$289,B9,'Sales_Detail'!$A$2:$A$289,"&gt;="&amp;'Cost_Assumptions'!$B$6,'Sales_Detail'!$A$2:$A$289,"&lt;="&amp;'Cost_Assumptions'!$B$7)</x:f>
        <x:v>399.22243093777445</x:v>
      </x:c>
      <x:c r="I9" s="26" t="n">
        <x:f>IFERROR(INDEX('SKU_Profitability'!$N$2:$N$25,MATCH(B9,'SKU_Profitability'!$A$2:$A$25,0)),0)</x:f>
        <x:v>10.59672844</x:v>
      </x:c>
      <x:c r="J9" s="26" t="n">
        <x:f>IFERROR(INDEX('SKU_Profitability'!$O$2:$O$25,MATCH(B9,'SKU_Profitability'!$A$2:$A$25,0)),0)+IFERROR(INDEX('SKU_Profitability'!$P$2:$P$25,MATCH(B9,'SKU_Profitability'!$A$2:$A$25,0)),0)</x:f>
        <x:v>5.55</x:v>
      </x:c>
      <x:c r="K9" s="26" t="n">
        <x:f>E9-G9-H9-D9*(I9+J9)</x:f>
        <x:v>5021.28593768432</x:v>
      </x:c>
      <x:c r="L9" s="30" t="n">
        <x:f>IF(E9=0,0,K9/E9)</x:f>
        <x:v>0.32701928614863146</x:v>
      </x:c>
      <x:c r="M9" s="30" t="n">
        <x:f>IFERROR(INDEX('SKU_Profitability'!$AD$2:$AD$25,MATCH(B9,'SKU_Profitability'!$A$2:$A$25,0)),0)</x:f>
        <x:v>0.32999999999999996</x:v>
      </x:c>
      <x:c r="N9" s="8" t="str">
        <x:f>IF(D9=0,"NO SALES",IF(K9&lt;=0,"IMMEDIATE REVIEW",IF(AND(E9&gt;0,G9/E9&gt;'Cost_Assumptions'!$B$15),"FREIGHT / CUSTOMER REVIEW",IF(L9&lt;M9,"PRICE / COST REVIEW","MONITOR"))))</x:f>
        <x:v>FREIGHT / CUSTOMER REVIEW</x:v>
      </x:c>
    </x:row>
    <x:row r="10">
      <x:c r="A10" s="6" t="str">
        <x:v>Sample Customer A</x:v>
      </x:c>
      <x:c r="B10" s="7" t="str">
        <x:v>FG-003</x:v>
      </x:c>
      <x:c r="C10" s="7" t="str">
        <x:f>IFERROR(INDEX('Product_Master'!$B$2:$B$25,MATCH(B10,'Product_Master'!$A$2:$A$25,0)),"")</x:f>
        <x:v>Shield Tan Product</x:v>
      </x:c>
      <x:c r="D10" s="24" t="n">
        <x:f>SUMIFS('Sales_Detail'!$E$2:$E$289,'Sales_Detail'!$C$2:$C$289,A10,'Sales_Detail'!$D$2:$D$289,B10,'Sales_Detail'!$A$2:$A$289,"&gt;="&amp;'Cost_Assumptions'!$B$6,'Sales_Detail'!$A$2:$A$289,"&lt;="&amp;'Cost_Assumptions'!$B$7)</x:f>
        <x:v>480</x:v>
      </x:c>
      <x:c r="E10" s="26" t="n">
        <x:f>SUMIFS('Sales_Detail'!$I$2:$I$289,'Sales_Detail'!$C$2:$C$289,A10,'Sales_Detail'!$D$2:$D$289,B10,'Sales_Detail'!$A$2:$A$289,"&gt;="&amp;'Cost_Assumptions'!$B$6,'Sales_Detail'!$A$2:$A$289,"&lt;="&amp;'Cost_Assumptions'!$B$7)</x:f>
        <x:v>17281.84747025316</x:v>
      </x:c>
      <x:c r="F10" s="26" t="n">
        <x:f>IF(D10=0,0,E10/D10)</x:f>
        <x:v>36.00384889636075</x:v>
      </x:c>
      <x:c r="G10" s="26" t="n">
        <x:f>SUMIFS('Sales_Detail'!$J$2:$J$289,'Sales_Detail'!$C$2:$C$289,A10,'Sales_Detail'!$D$2:$D$289,B10,'Sales_Detail'!$A$2:$A$289,"&gt;="&amp;'Cost_Assumptions'!$B$6,'Sales_Detail'!$A$2:$A$289,"&lt;="&amp;'Cost_Assumptions'!$B$7)</x:f>
        <x:v>2616</x:v>
      </x:c>
      <x:c r="H10" s="26" t="n">
        <x:f>SUMIFS('Sales_Detail'!$K$2:$K$289,'Sales_Detail'!$C$2:$C$289,A10,'Sales_Detail'!$D$2:$D$289,B10,'Sales_Detail'!$A$2:$A$289,"&gt;="&amp;'Cost_Assumptions'!$B$6,'Sales_Detail'!$A$2:$A$289,"&lt;="&amp;'Cost_Assumptions'!$B$7)</x:f>
        <x:v>449.3280342265821</x:v>
      </x:c>
      <x:c r="I10" s="26" t="n">
        <x:f>IFERROR(INDEX('SKU_Profitability'!$N$2:$N$25,MATCH(B10,'SKU_Profitability'!$A$2:$A$25,0)),0)</x:f>
        <x:v>10.59672844</x:v>
      </x:c>
      <x:c r="J10" s="26" t="n">
        <x:f>IFERROR(INDEX('SKU_Profitability'!$O$2:$O$25,MATCH(B10,'SKU_Profitability'!$A$2:$A$25,0)),0)+IFERROR(INDEX('SKU_Profitability'!$P$2:$P$25,MATCH(B10,'SKU_Profitability'!$A$2:$A$25,0)),0)</x:f>
        <x:v>5.55</x:v>
      </x:c>
      <x:c r="K10" s="26" t="n">
        <x:f>E10-G10-H10-D10*(I10+J10)</x:f>
        <x:v>6466.089784826578</x:v>
      </x:c>
      <x:c r="L10" s="30" t="n">
        <x:f>IF(E10=0,0,K10/E10)</x:f>
        <x:v>0.3741550083668142</x:v>
      </x:c>
      <x:c r="M10" s="30" t="n">
        <x:f>IFERROR(INDEX('SKU_Profitability'!$AD$2:$AD$25,MATCH(B10,'SKU_Profitability'!$A$2:$A$25,0)),0)</x:f>
        <x:v>0.32999999999999996</x:v>
      </x:c>
      <x:c r="N10" s="8" t="str">
        <x:f>IF(D10=0,"NO SALES",IF(K10&lt;=0,"IMMEDIATE REVIEW",IF(AND(E10&gt;0,G10/E10&gt;'Cost_Assumptions'!$B$15),"FREIGHT / CUSTOMER REVIEW",IF(L10&lt;M10,"PRICE / COST REVIEW","MONITOR"))))</x:f>
        <x:v>FREIGHT / CUSTOMER REVIEW</x:v>
      </x:c>
    </x:row>
    <x:row r="11">
      <x:c r="A11" s="6" t="str">
        <x:v>Sample Customer D</x:v>
      </x:c>
      <x:c r="B11" s="7" t="str">
        <x:v>FG-004</x:v>
      </x:c>
      <x:c r="C11" s="7" t="str">
        <x:f>IFERROR(INDEX('Product_Master'!$B$2:$B$25,MATCH(B11,'Product_Master'!$A$2:$A$25,0)),"")</x:f>
        <x:v>Shield Blue Product</x:v>
      </x:c>
      <x:c r="D11" s="24" t="n">
        <x:f>SUMIFS('Sales_Detail'!$E$2:$E$289,'Sales_Detail'!$C$2:$C$289,A11,'Sales_Detail'!$D$2:$D$289,B11,'Sales_Detail'!$A$2:$A$289,"&gt;="&amp;'Cost_Assumptions'!$B$6,'Sales_Detail'!$A$2:$A$289,"&lt;="&amp;'Cost_Assumptions'!$B$7)</x:f>
        <x:v>1780</x:v>
      </x:c>
      <x:c r="E11" s="26" t="n">
        <x:f>SUMIFS('Sales_Detail'!$I$2:$I$289,'Sales_Detail'!$C$2:$C$289,A11,'Sales_Detail'!$D$2:$D$289,B11,'Sales_Detail'!$A$2:$A$289,"&gt;="&amp;'Cost_Assumptions'!$B$6,'Sales_Detail'!$A$2:$A$289,"&lt;="&amp;'Cost_Assumptions'!$B$7)</x:f>
        <x:v>50611.37609985474</x:v>
      </x:c>
      <x:c r="F11" s="26" t="n">
        <x:f>IF(D11=0,0,E11/D11)</x:f>
        <x:v>28.433357359468953</x:v>
      </x:c>
      <x:c r="G11" s="26" t="n">
        <x:f>SUMIFS('Sales_Detail'!$J$2:$J$289,'Sales_Detail'!$C$2:$C$289,A11,'Sales_Detail'!$D$2:$D$289,B11,'Sales_Detail'!$A$2:$A$289,"&gt;="&amp;'Cost_Assumptions'!$B$6,'Sales_Detail'!$A$2:$A$289,"&lt;="&amp;'Cost_Assumptions'!$B$7)</x:f>
        <x:v>8544</x:v>
      </x:c>
      <x:c r="H11" s="26" t="n">
        <x:f>SUMIFS('Sales_Detail'!$K$2:$K$289,'Sales_Detail'!$C$2:$C$289,A11,'Sales_Detail'!$D$2:$D$289,B11,'Sales_Detail'!$A$2:$A$289,"&gt;="&amp;'Cost_Assumptions'!$B$6,'Sales_Detail'!$A$2:$A$289,"&lt;="&amp;'Cost_Assumptions'!$B$7)</x:f>
        <x:v>911.0047697973852</x:v>
      </x:c>
      <x:c r="I11" s="26" t="n">
        <x:f>IFERROR(INDEX('SKU_Profitability'!$N$2:$N$25,MATCH(B11,'SKU_Profitability'!$A$2:$A$25,0)),0)</x:f>
        <x:v>10.110486674999999</x:v>
      </x:c>
      <x:c r="J11" s="26" t="n">
        <x:f>IFERROR(INDEX('SKU_Profitability'!$O$2:$O$25,MATCH(B11,'SKU_Profitability'!$A$2:$A$25,0)),0)+IFERROR(INDEX('SKU_Profitability'!$P$2:$P$25,MATCH(B11,'SKU_Profitability'!$A$2:$A$25,0)),0)</x:f>
        <x:v>0.5418452380952381</x:v>
      </x:c>
      <x:c r="K11" s="26" t="n">
        <x:f>E11-G11-H11-D11*(I11+J11)</x:f>
        <x:v>22195.22052474783</x:v>
      </x:c>
      <x:c r="L11" s="30" t="n">
        <x:f>IF(E11=0,0,K11/E11)</x:f>
        <x:v>0.43854212699052725</x:v>
      </x:c>
      <x:c r="M11" s="30" t="n">
        <x:f>IFERROR(INDEX('SKU_Profitability'!$AD$2:$AD$25,MATCH(B11,'SKU_Profitability'!$A$2:$A$25,0)),0)</x:f>
        <x:v>0.345</x:v>
      </x:c>
      <x:c r="N11" s="8" t="str">
        <x:f>IF(D11=0,"NO SALES",IF(K11&lt;=0,"IMMEDIATE REVIEW",IF(AND(E11&gt;0,G11/E11&gt;'Cost_Assumptions'!$B$15),"FREIGHT / CUSTOMER REVIEW",IF(L11&lt;M11,"PRICE / COST REVIEW","MONITOR"))))</x:f>
        <x:v>FREIGHT / CUSTOMER REVIEW</x:v>
      </x:c>
    </x:row>
    <x:row r="12">
      <x:c r="A12" s="6" t="str">
        <x:v>Sample Customer F</x:v>
      </x:c>
      <x:c r="B12" s="7" t="str">
        <x:v>FG-004</x:v>
      </x:c>
      <x:c r="C12" s="7" t="str">
        <x:f>IFERROR(INDEX('Product_Master'!$B$2:$B$25,MATCH(B12,'Product_Master'!$A$2:$A$25,0)),"")</x:f>
        <x:v>Shield Blue Product</x:v>
      </x:c>
      <x:c r="D12" s="24" t="n">
        <x:f>SUMIFS('Sales_Detail'!$E$2:$E$289,'Sales_Detail'!$C$2:$C$289,A12,'Sales_Detail'!$D$2:$D$289,B12,'Sales_Detail'!$A$2:$A$289,"&gt;="&amp;'Cost_Assumptions'!$B$6,'Sales_Detail'!$A$2:$A$289,"&lt;="&amp;'Cost_Assumptions'!$B$7)</x:f>
        <x:v>1920</x:v>
      </x:c>
      <x:c r="E12" s="26" t="n">
        <x:f>SUMIFS('Sales_Detail'!$I$2:$I$289,'Sales_Detail'!$C$2:$C$289,A12,'Sales_Detail'!$D$2:$D$289,B12,'Sales_Detail'!$A$2:$A$289,"&gt;="&amp;'Cost_Assumptions'!$B$6,'Sales_Detail'!$A$2:$A$289,"&lt;="&amp;'Cost_Assumptions'!$B$7)</x:f>
        <x:v>56403.25288641442</x:v>
      </x:c>
      <x:c r="F12" s="26" t="n">
        <x:f>IF(D12=0,0,E12/D12)</x:f>
        <x:v>29.376694211674177</x:v>
      </x:c>
      <x:c r="G12" s="26" t="n">
        <x:f>SUMIFS('Sales_Detail'!$J$2:$J$289,'Sales_Detail'!$C$2:$C$289,A12,'Sales_Detail'!$D$2:$D$289,B12,'Sales_Detail'!$A$2:$A$289,"&gt;="&amp;'Cost_Assumptions'!$B$6,'Sales_Detail'!$A$2:$A$289,"&lt;="&amp;'Cost_Assumptions'!$B$7)</x:f>
        <x:v>12441.6</x:v>
      </x:c>
      <x:c r="H12" s="26" t="n">
        <x:f>SUMIFS('Sales_Detail'!$K$2:$K$289,'Sales_Detail'!$C$2:$C$289,A12,'Sales_Detail'!$D$2:$D$289,B12,'Sales_Detail'!$A$2:$A$289,"&gt;="&amp;'Cost_Assumptions'!$B$6,'Sales_Detail'!$A$2:$A$289,"&lt;="&amp;'Cost_Assumptions'!$B$7)</x:f>
        <x:v>1015.2585519554594</x:v>
      </x:c>
      <x:c r="I12" s="26" t="n">
        <x:f>IFERROR(INDEX('SKU_Profitability'!$N$2:$N$25,MATCH(B12,'SKU_Profitability'!$A$2:$A$25,0)),0)</x:f>
        <x:v>10.110486674999999</x:v>
      </x:c>
      <x:c r="J12" s="26" t="n">
        <x:f>IFERROR(INDEX('SKU_Profitability'!$O$2:$O$25,MATCH(B12,'SKU_Profitability'!$A$2:$A$25,0)),0)+IFERROR(INDEX('SKU_Profitability'!$P$2:$P$25,MATCH(B12,'SKU_Profitability'!$A$2:$A$25,0)),0)</x:f>
        <x:v>0.5418452380952381</x:v>
      </x:c>
      <x:c r="K12" s="26" t="n">
        <x:f>E12-G12-H12-D12*(I12+J12)</x:f>
        <x:v>22493.917061316108</x:v>
      </x:c>
      <x:c r="L12" s="30" t="n">
        <x:f>IF(E12=0,0,K12/E12)</x:f>
        <x:v>0.39880531547736514</x:v>
      </x:c>
      <x:c r="M12" s="30" t="n">
        <x:f>IFERROR(INDEX('SKU_Profitability'!$AD$2:$AD$25,MATCH(B12,'SKU_Profitability'!$A$2:$A$25,0)),0)</x:f>
        <x:v>0.345</x:v>
      </x:c>
      <x:c r="N12" s="8" t="str">
        <x:f>IF(D12=0,"NO SALES",IF(K12&lt;=0,"IMMEDIATE REVIEW",IF(AND(E12&gt;0,G12/E12&gt;'Cost_Assumptions'!$B$15),"FREIGHT / CUSTOMER REVIEW",IF(L12&lt;M12,"PRICE / COST REVIEW","MONITOR"))))</x:f>
        <x:v>FREIGHT / CUSTOMER REVIEW</x:v>
      </x:c>
    </x:row>
    <x:row r="13">
      <x:c r="A13" s="6" t="str">
        <x:v>Sample Customer B</x:v>
      </x:c>
      <x:c r="B13" s="7" t="str">
        <x:v>FG-004</x:v>
      </x:c>
      <x:c r="C13" s="7" t="str">
        <x:f>IFERROR(INDEX('Product_Master'!$B$2:$B$25,MATCH(B13,'Product_Master'!$A$2:$A$25,0)),"")</x:f>
        <x:v>Shield Blue Product</x:v>
      </x:c>
      <x:c r="D13" s="24" t="n">
        <x:f>SUMIFS('Sales_Detail'!$E$2:$E$289,'Sales_Detail'!$C$2:$C$289,A13,'Sales_Detail'!$D$2:$D$289,B13,'Sales_Detail'!$A$2:$A$289,"&gt;="&amp;'Cost_Assumptions'!$B$6,'Sales_Detail'!$A$2:$A$289,"&lt;="&amp;'Cost_Assumptions'!$B$7)</x:f>
        <x:v>2060</x:v>
      </x:c>
      <x:c r="E13" s="26" t="n">
        <x:f>SUMIFS('Sales_Detail'!$I$2:$I$289,'Sales_Detail'!$C$2:$C$289,A13,'Sales_Detail'!$D$2:$D$289,B13,'Sales_Detail'!$A$2:$A$289,"&gt;="&amp;'Cost_Assumptions'!$B$6,'Sales_Detail'!$A$2:$A$289,"&lt;="&amp;'Cost_Assumptions'!$B$7)</x:f>
        <x:v>62331.46977833027</x:v>
      </x:c>
      <x:c r="F13" s="26" t="n">
        <x:f>IF(D13=0,0,E13/D13)</x:f>
        <x:v>30.2579950380244</x:v>
      </x:c>
      <x:c r="G13" s="26" t="n">
        <x:f>SUMIFS('Sales_Detail'!$J$2:$J$289,'Sales_Detail'!$C$2:$C$289,A13,'Sales_Detail'!$D$2:$D$289,B13,'Sales_Detail'!$A$2:$A$289,"&gt;="&amp;'Cost_Assumptions'!$B$6,'Sales_Detail'!$A$2:$A$289,"&lt;="&amp;'Cost_Assumptions'!$B$7)</x:f>
        <x:v>9888</x:v>
      </x:c>
      <x:c r="H13" s="26" t="n">
        <x:f>SUMIFS('Sales_Detail'!$K$2:$K$289,'Sales_Detail'!$C$2:$C$289,A13,'Sales_Detail'!$D$2:$D$289,B13,'Sales_Detail'!$A$2:$A$289,"&gt;="&amp;'Cost_Assumptions'!$B$6,'Sales_Detail'!$A$2:$A$289,"&lt;="&amp;'Cost_Assumptions'!$B$7)</x:f>
        <x:v>1121.9664560099445</x:v>
      </x:c>
      <x:c r="I13" s="26" t="n">
        <x:f>IFERROR(INDEX('SKU_Profitability'!$N$2:$N$25,MATCH(B13,'SKU_Profitability'!$A$2:$A$25,0)),0)</x:f>
        <x:v>10.110486674999999</x:v>
      </x:c>
      <x:c r="J13" s="26" t="n">
        <x:f>IFERROR(INDEX('SKU_Profitability'!$O$2:$O$25,MATCH(B13,'SKU_Profitability'!$A$2:$A$25,0)),0)+IFERROR(INDEX('SKU_Profitability'!$P$2:$P$25,MATCH(B13,'SKU_Profitability'!$A$2:$A$25,0)),0)</x:f>
        <x:v>0.5418452380952381</x:v>
      </x:c>
      <x:c r="K13" s="26" t="n">
        <x:f>E13-G13-H13-D13*(I13+J13)</x:f>
        <x:v>29377.69958134413</x:v>
      </x:c>
      <x:c r="L13" s="30" t="n">
        <x:f>IF(E13=0,0,K13/E13)</x:f>
        <x:v>0.47131408397427815</x:v>
      </x:c>
      <x:c r="M13" s="30" t="n">
        <x:f>IFERROR(INDEX('SKU_Profitability'!$AD$2:$AD$25,MATCH(B13,'SKU_Profitability'!$A$2:$A$25,0)),0)</x:f>
        <x:v>0.345</x:v>
      </x:c>
      <x:c r="N13" s="8" t="str">
        <x:f>IF(D13=0,"NO SALES",IF(K13&lt;=0,"IMMEDIATE REVIEW",IF(AND(E13&gt;0,G13/E13&gt;'Cost_Assumptions'!$B$15),"FREIGHT / CUSTOMER REVIEW",IF(L13&lt;M13,"PRICE / COST REVIEW","MONITOR"))))</x:f>
        <x:v>FREIGHT / CUSTOMER REVIEW</x:v>
      </x:c>
    </x:row>
    <x:row r="14">
      <x:c r="A14" s="6" t="str">
        <x:v>Sample Customer E</x:v>
      </x:c>
      <x:c r="B14" s="7" t="str">
        <x:v>FG-005</x:v>
      </x:c>
      <x:c r="C14" s="7" t="str">
        <x:f>IFERROR(INDEX('Product_Master'!$B$2:$B$25,MATCH(B14,'Product_Master'!$A$2:$A$25,0)),"")</x:f>
        <x:v>Shield Gray Product</x:v>
      </x:c>
      <x:c r="D14" s="24" t="n">
        <x:f>SUMIFS('Sales_Detail'!$E$2:$E$289,'Sales_Detail'!$C$2:$C$289,A14,'Sales_Detail'!$D$2:$D$289,B14,'Sales_Detail'!$A$2:$A$289,"&gt;="&amp;'Cost_Assumptions'!$B$6,'Sales_Detail'!$A$2:$A$289,"&lt;="&amp;'Cost_Assumptions'!$B$7)</x:f>
        <x:v>1350</x:v>
      </x:c>
      <x:c r="E14" s="26" t="n">
        <x:f>SUMIFS('Sales_Detail'!$I$2:$I$289,'Sales_Detail'!$C$2:$C$289,A14,'Sales_Detail'!$D$2:$D$289,B14,'Sales_Detail'!$A$2:$A$289,"&gt;="&amp;'Cost_Assumptions'!$B$6,'Sales_Detail'!$A$2:$A$289,"&lt;="&amp;'Cost_Assumptions'!$B$7)</x:f>
        <x:v>34700.06798238505</x:v>
      </x:c>
      <x:c r="F14" s="26" t="n">
        <x:f>IF(D14=0,0,E14/D14)</x:f>
        <x:v>25.703754061025965</x:v>
      </x:c>
      <x:c r="G14" s="26" t="n">
        <x:f>SUMIFS('Sales_Detail'!$J$2:$J$289,'Sales_Detail'!$C$2:$C$289,A14,'Sales_Detail'!$D$2:$D$289,B14,'Sales_Detail'!$A$2:$A$289,"&gt;="&amp;'Cost_Assumptions'!$B$6,'Sales_Detail'!$A$2:$A$289,"&lt;="&amp;'Cost_Assumptions'!$B$7)</x:f>
        <x:v>9000.45</x:v>
      </x:c>
      <x:c r="H14" s="26" t="n">
        <x:f>SUMIFS('Sales_Detail'!$K$2:$K$289,'Sales_Detail'!$C$2:$C$289,A14,'Sales_Detail'!$D$2:$D$289,B14,'Sales_Detail'!$A$2:$A$289,"&gt;="&amp;'Cost_Assumptions'!$B$6,'Sales_Detail'!$A$2:$A$289,"&lt;="&amp;'Cost_Assumptions'!$B$7)</x:f>
        <x:v>763.4014956124709</x:v>
      </x:c>
      <x:c r="I14" s="26" t="n">
        <x:f>IFERROR(INDEX('SKU_Profitability'!$N$2:$N$25,MATCH(B14,'SKU_Profitability'!$A$2:$A$25,0)),0)</x:f>
        <x:v>10.068538028</x:v>
      </x:c>
      <x:c r="J14" s="26" t="n">
        <x:f>IFERROR(INDEX('SKU_Profitability'!$O$2:$O$25,MATCH(B14,'SKU_Profitability'!$A$2:$A$25,0)),0)+IFERROR(INDEX('SKU_Profitability'!$P$2:$P$25,MATCH(B14,'SKU_Profitability'!$A$2:$A$25,0)),0)</x:f>
        <x:v>1.6853541666666667</x:v>
      </x:c>
      <x:c r="K14" s="26" t="n">
        <x:f>E14-G14-H14-D14*(I14+J14)</x:f>
        <x:v>9068.46202397258</x:v>
      </x:c>
      <x:c r="L14" s="30" t="n">
        <x:f>IF(E14=0,0,K14/E14)</x:f>
        <x:v>0.26133845122655214</x:v>
      </x:c>
      <x:c r="M14" s="30" t="n">
        <x:f>IFERROR(INDEX('SKU_Profitability'!$AD$2:$AD$25,MATCH(B14,'SKU_Profitability'!$A$2:$A$25,0)),0)</x:f>
        <x:v>0.3</x:v>
      </x:c>
      <x:c r="N14" s="8" t="str">
        <x:f>IF(D14=0,"NO SALES",IF(K14&lt;=0,"IMMEDIATE REVIEW",IF(AND(E14&gt;0,G14/E14&gt;'Cost_Assumptions'!$B$15),"FREIGHT / CUSTOMER REVIEW",IF(L14&lt;M14,"PRICE / COST REVIEW","MONITOR"))))</x:f>
        <x:v>FREIGHT / CUSTOMER REVIEW</x:v>
      </x:c>
    </x:row>
    <x:row r="15">
      <x:c r="A15" s="6" t="str">
        <x:v>Sample Customer A</x:v>
      </x:c>
      <x:c r="B15" s="7" t="str">
        <x:v>FG-005</x:v>
      </x:c>
      <x:c r="C15" s="7" t="str">
        <x:f>IFERROR(INDEX('Product_Master'!$B$2:$B$25,MATCH(B15,'Product_Master'!$A$2:$A$25,0)),"")</x:f>
        <x:v>Shield Gray Product</x:v>
      </x:c>
      <x:c r="D15" s="24" t="n">
        <x:f>SUMIFS('Sales_Detail'!$E$2:$E$289,'Sales_Detail'!$C$2:$C$289,A15,'Sales_Detail'!$D$2:$D$289,B15,'Sales_Detail'!$A$2:$A$289,"&gt;="&amp;'Cost_Assumptions'!$B$6,'Sales_Detail'!$A$2:$A$289,"&lt;="&amp;'Cost_Assumptions'!$B$7)</x:f>
        <x:v>1450</x:v>
      </x:c>
      <x:c r="E15" s="26" t="n">
        <x:f>SUMIFS('Sales_Detail'!$I$2:$I$289,'Sales_Detail'!$C$2:$C$289,A15,'Sales_Detail'!$D$2:$D$289,B15,'Sales_Detail'!$A$2:$A$289,"&gt;="&amp;'Cost_Assumptions'!$B$6,'Sales_Detail'!$A$2:$A$289,"&lt;="&amp;'Cost_Assumptions'!$B$7)</x:f>
        <x:v>38423.13751390479</x:v>
      </x:c>
      <x:c r="F15" s="26" t="n">
        <x:f>IF(D15=0,0,E15/D15)</x:f>
        <x:v>26.49871552683089</x:v>
      </x:c>
      <x:c r="G15" s="26" t="n">
        <x:f>SUMIFS('Sales_Detail'!$J$2:$J$289,'Sales_Detail'!$C$2:$C$289,A15,'Sales_Detail'!$D$2:$D$289,B15,'Sales_Detail'!$A$2:$A$289,"&gt;="&amp;'Cost_Assumptions'!$B$6,'Sales_Detail'!$A$2:$A$289,"&lt;="&amp;'Cost_Assumptions'!$B$7)</x:f>
        <x:v>8192.5</x:v>
      </x:c>
      <x:c r="H15" s="26" t="n">
        <x:f>SUMIFS('Sales_Detail'!$K$2:$K$289,'Sales_Detail'!$C$2:$C$289,A15,'Sales_Detail'!$D$2:$D$289,B15,'Sales_Detail'!$A$2:$A$289,"&gt;="&amp;'Cost_Assumptions'!$B$6,'Sales_Detail'!$A$2:$A$289,"&lt;="&amp;'Cost_Assumptions'!$B$7)</x:f>
        <x:v>845.3090253059054</x:v>
      </x:c>
      <x:c r="I15" s="26" t="n">
        <x:f>IFERROR(INDEX('SKU_Profitability'!$N$2:$N$25,MATCH(B15,'SKU_Profitability'!$A$2:$A$25,0)),0)</x:f>
        <x:v>10.068538028</x:v>
      </x:c>
      <x:c r="J15" s="26" t="n">
        <x:f>IFERROR(INDEX('SKU_Profitability'!$O$2:$O$25,MATCH(B15,'SKU_Profitability'!$A$2:$A$25,0)),0)+IFERROR(INDEX('SKU_Profitability'!$P$2:$P$25,MATCH(B15,'SKU_Profitability'!$A$2:$A$25,0)),0)</x:f>
        <x:v>1.6853541666666667</x:v>
      </x:c>
      <x:c r="K15" s="26" t="n">
        <x:f>E15-G15-H15-D15*(I15+J15)</x:f>
        <x:v>12342.184806332214</x:v>
      </x:c>
      <x:c r="L15" s="30" t="n">
        <x:f>IF(E15=0,0,K15/E15)</x:f>
        <x:v>0.3212175164473685</x:v>
      </x:c>
      <x:c r="M15" s="30" t="n">
        <x:f>IFERROR(INDEX('SKU_Profitability'!$AD$2:$AD$25,MATCH(B15,'SKU_Profitability'!$A$2:$A$25,0)),0)</x:f>
        <x:v>0.3</x:v>
      </x:c>
      <x:c r="N15" s="8" t="str">
        <x:f>IF(D15=0,"NO SALES",IF(K15&lt;=0,"IMMEDIATE REVIEW",IF(AND(E15&gt;0,G15/E15&gt;'Cost_Assumptions'!$B$15),"FREIGHT / CUSTOMER REVIEW",IF(L15&lt;M15,"PRICE / COST REVIEW","MONITOR"))))</x:f>
        <x:v>FREIGHT / CUSTOMER REVIEW</x:v>
      </x:c>
    </x:row>
    <x:row r="16">
      <x:c r="A16" s="6" t="str">
        <x:v>Sample Customer C</x:v>
      </x:c>
      <x:c r="B16" s="7" t="str">
        <x:v>FG-005</x:v>
      </x:c>
      <x:c r="C16" s="7" t="str">
        <x:f>IFERROR(INDEX('Product_Master'!$B$2:$B$25,MATCH(B16,'Product_Master'!$A$2:$A$25,0)),"")</x:f>
        <x:v>Shield Gray Product</x:v>
      </x:c>
      <x:c r="D16" s="24" t="n">
        <x:f>SUMIFS('Sales_Detail'!$E$2:$E$289,'Sales_Detail'!$C$2:$C$289,A16,'Sales_Detail'!$D$2:$D$289,B16,'Sales_Detail'!$A$2:$A$289,"&gt;="&amp;'Cost_Assumptions'!$B$6,'Sales_Detail'!$A$2:$A$289,"&lt;="&amp;'Cost_Assumptions'!$B$7)</x:f>
        <x:v>1250</x:v>
      </x:c>
      <x:c r="E16" s="26" t="n">
        <x:f>SUMIFS('Sales_Detail'!$I$2:$I$289,'Sales_Detail'!$C$2:$C$289,A16,'Sales_Detail'!$D$2:$D$289,B16,'Sales_Detail'!$A$2:$A$289,"&gt;="&amp;'Cost_Assumptions'!$B$6,'Sales_Detail'!$A$2:$A$289,"&lt;="&amp;'Cost_Assumptions'!$B$7)</x:f>
        <x:v>34060.000606872054</x:v>
      </x:c>
      <x:c r="F16" s="26" t="n">
        <x:f>IF(D16=0,0,E16/D16)</x:f>
        <x:v>27.248000485497645</x:v>
      </x:c>
      <x:c r="G16" s="26" t="n">
        <x:f>SUMIFS('Sales_Detail'!$J$2:$J$289,'Sales_Detail'!$C$2:$C$289,A16,'Sales_Detail'!$D$2:$D$289,B16,'Sales_Detail'!$A$2:$A$289,"&gt;="&amp;'Cost_Assumptions'!$B$6,'Sales_Detail'!$A$2:$A$289,"&lt;="&amp;'Cost_Assumptions'!$B$7)</x:f>
        <x:v>7062.5</x:v>
      </x:c>
      <x:c r="H16" s="26" t="n">
        <x:f>SUMIFS('Sales_Detail'!$K$2:$K$289,'Sales_Detail'!$C$2:$C$289,A16,'Sales_Detail'!$D$2:$D$289,B16,'Sales_Detail'!$A$2:$A$289,"&gt;="&amp;'Cost_Assumptions'!$B$6,'Sales_Detail'!$A$2:$A$289,"&lt;="&amp;'Cost_Assumptions'!$B$7)</x:f>
        <x:v>749.3200133511853</x:v>
      </x:c>
      <x:c r="I16" s="26" t="n">
        <x:f>IFERROR(INDEX('SKU_Profitability'!$N$2:$N$25,MATCH(B16,'SKU_Profitability'!$A$2:$A$25,0)),0)</x:f>
        <x:v>10.068538028</x:v>
      </x:c>
      <x:c r="J16" s="26" t="n">
        <x:f>IFERROR(INDEX('SKU_Profitability'!$O$2:$O$25,MATCH(B16,'SKU_Profitability'!$A$2:$A$25,0)),0)+IFERROR(INDEX('SKU_Profitability'!$P$2:$P$25,MATCH(B16,'SKU_Profitability'!$A$2:$A$25,0)),0)</x:f>
        <x:v>1.6853541666666667</x:v>
      </x:c>
      <x:c r="K16" s="26" t="n">
        <x:f>E16-G16-H16-D16*(I16+J16)</x:f>
        <x:v>11555.815350187535</x:v>
      </x:c>
      <x:c r="L16" s="30" t="n">
        <x:f>IF(E16=0,0,K16/E16)</x:f>
        <x:v>0.3392781897912238</x:v>
      </x:c>
      <x:c r="M16" s="30" t="n">
        <x:f>IFERROR(INDEX('SKU_Profitability'!$AD$2:$AD$25,MATCH(B16,'SKU_Profitability'!$A$2:$A$25,0)),0)</x:f>
        <x:v>0.3</x:v>
      </x:c>
      <x:c r="N16" s="8" t="str">
        <x:f>IF(D16=0,"NO SALES",IF(K16&lt;=0,"IMMEDIATE REVIEW",IF(AND(E16&gt;0,G16/E16&gt;'Cost_Assumptions'!$B$15),"FREIGHT / CUSTOMER REVIEW",IF(L16&lt;M16,"PRICE / COST REVIEW","MONITOR"))))</x:f>
        <x:v>FREIGHT / CUSTOMER REVIEW</x:v>
      </x:c>
    </x:row>
    <x:row r="17">
      <x:c r="A17" s="6" t="str">
        <x:v>Sample Customer F</x:v>
      </x:c>
      <x:c r="B17" s="7" t="str">
        <x:v>FG-006</x:v>
      </x:c>
      <x:c r="C17" s="7" t="str">
        <x:f>IFERROR(INDEX('Product_Master'!$B$2:$B$25,MATCH(B17,'Product_Master'!$A$2:$A$25,0)),"")</x:f>
        <x:v>Shield Red Product</x:v>
      </x:c>
      <x:c r="D17" s="24" t="n">
        <x:f>SUMIFS('Sales_Detail'!$E$2:$E$289,'Sales_Detail'!$C$2:$C$289,A17,'Sales_Detail'!$D$2:$D$289,B17,'Sales_Detail'!$A$2:$A$289,"&gt;="&amp;'Cost_Assumptions'!$B$6,'Sales_Detail'!$A$2:$A$289,"&lt;="&amp;'Cost_Assumptions'!$B$7)</x:f>
        <x:v>330</x:v>
      </x:c>
      <x:c r="E17" s="26" t="n">
        <x:f>SUMIFS('Sales_Detail'!$I$2:$I$289,'Sales_Detail'!$C$2:$C$289,A17,'Sales_Detail'!$D$2:$D$289,B17,'Sales_Detail'!$A$2:$A$289,"&gt;="&amp;'Cost_Assumptions'!$B$6,'Sales_Detail'!$A$2:$A$289,"&lt;="&amp;'Cost_Assumptions'!$B$7)</x:f>
        <x:v>9589.836396916671</x:v>
      </x:c>
      <x:c r="F17" s="26" t="n">
        <x:f>IF(D17=0,0,E17/D17)</x:f>
        <x:v>29.060110293686883</x:v>
      </x:c>
      <x:c r="G17" s="26" t="n">
        <x:f>SUMIFS('Sales_Detail'!$J$2:$J$289,'Sales_Detail'!$C$2:$C$289,A17,'Sales_Detail'!$D$2:$D$289,B17,'Sales_Detail'!$A$2:$A$289,"&gt;="&amp;'Cost_Assumptions'!$B$6,'Sales_Detail'!$A$2:$A$289,"&lt;="&amp;'Cost_Assumptions'!$B$7)</x:f>
        <x:v>1002.375</x:v>
      </x:c>
      <x:c r="H17" s="26" t="n">
        <x:f>SUMIFS('Sales_Detail'!$K$2:$K$289,'Sales_Detail'!$C$2:$C$289,A17,'Sales_Detail'!$D$2:$D$289,B17,'Sales_Detail'!$A$2:$A$289,"&gt;="&amp;'Cost_Assumptions'!$B$6,'Sales_Detail'!$A$2:$A$289,"&lt;="&amp;'Cost_Assumptions'!$B$7)</x:f>
        <x:v>249.33574631983345</x:v>
      </x:c>
      <x:c r="I17" s="26" t="n">
        <x:f>IFERROR(INDEX('SKU_Profitability'!$N$2:$N$25,MATCH(B17,'SKU_Profitability'!$A$2:$A$25,0)),0)</x:f>
        <x:v>9.62640062</x:v>
      </x:c>
      <x:c r="J17" s="26" t="n">
        <x:f>IFERROR(INDEX('SKU_Profitability'!$O$2:$O$25,MATCH(B17,'SKU_Profitability'!$A$2:$A$25,0)),0)+IFERROR(INDEX('SKU_Profitability'!$P$2:$P$25,MATCH(B17,'SKU_Profitability'!$A$2:$A$25,0)),0)</x:f>
        <x:v>6.035555555555556</x:v>
      </x:c>
      <x:c r="K17" s="26" t="n">
        <x:f>E17-G17-H17-D17*(I17+J17)</x:f>
        <x:v>3169.6801126635046</x:v>
      </x:c>
      <x:c r="L17" s="30" t="n">
        <x:f>IF(E17=0,0,K17/E17)</x:f>
        <x:v>0.33052494135172333</x:v>
      </x:c>
      <x:c r="M17" s="30" t="n">
        <x:f>IFERROR(INDEX('SKU_Profitability'!$AD$2:$AD$25,MATCH(B17,'SKU_Profitability'!$A$2:$A$25,0)),0)</x:f>
        <x:v>0.315</x:v>
      </x:c>
      <x:c r="N17" s="8" t="str">
        <x:f>IF(D17=0,"NO SALES",IF(K17&lt;=0,"IMMEDIATE REVIEW",IF(AND(E17&gt;0,G17/E17&gt;'Cost_Assumptions'!$B$15),"FREIGHT / CUSTOMER REVIEW",IF(L17&lt;M17,"PRICE / COST REVIEW","MONITOR"))))</x:f>
        <x:v>MONITOR</x:v>
      </x:c>
    </x:row>
    <x:row r="18">
      <x:c r="A18" s="6" t="str">
        <x:v>Sample Customer B</x:v>
      </x:c>
      <x:c r="B18" s="7" t="str">
        <x:v>FG-006</x:v>
      </x:c>
      <x:c r="C18" s="7" t="str">
        <x:f>IFERROR(INDEX('Product_Master'!$B$2:$B$25,MATCH(B18,'Product_Master'!$A$2:$A$25,0)),"")</x:f>
        <x:v>Shield Red Product</x:v>
      </x:c>
      <x:c r="D18" s="24" t="n">
        <x:f>SUMIFS('Sales_Detail'!$E$2:$E$289,'Sales_Detail'!$C$2:$C$289,A18,'Sales_Detail'!$D$2:$D$289,B18,'Sales_Detail'!$A$2:$A$289,"&gt;="&amp;'Cost_Assumptions'!$B$6,'Sales_Detail'!$A$2:$A$289,"&lt;="&amp;'Cost_Assumptions'!$B$7)</x:f>
        <x:v>290</x:v>
      </x:c>
      <x:c r="E18" s="26" t="n">
        <x:f>SUMIFS('Sales_Detail'!$I$2:$I$289,'Sales_Detail'!$C$2:$C$289,A18,'Sales_Detail'!$D$2:$D$289,B18,'Sales_Detail'!$A$2:$A$289,"&gt;="&amp;'Cost_Assumptions'!$B$6,'Sales_Detail'!$A$2:$A$289,"&lt;="&amp;'Cost_Assumptions'!$B$7)</x:f>
        <x:v>8669.729512567465</x:v>
      </x:c>
      <x:c r="F18" s="26" t="n">
        <x:f>IF(D18=0,0,E18/D18)</x:f>
        <x:v>29.895619008853327</x:v>
      </x:c>
      <x:c r="G18" s="26" t="n">
        <x:f>SUMIFS('Sales_Detail'!$J$2:$J$289,'Sales_Detail'!$C$2:$C$289,A18,'Sales_Detail'!$D$2:$D$289,B18,'Sales_Detail'!$A$2:$A$289,"&gt;="&amp;'Cost_Assumptions'!$B$6,'Sales_Detail'!$A$2:$A$289,"&lt;="&amp;'Cost_Assumptions'!$B$7)</x:f>
        <x:v>652.5</x:v>
      </x:c>
      <x:c r="H18" s="26" t="n">
        <x:f>SUMIFS('Sales_Detail'!$K$2:$K$289,'Sales_Detail'!$C$2:$C$289,A18,'Sales_Detail'!$D$2:$D$289,B18,'Sales_Detail'!$A$2:$A$289,"&gt;="&amp;'Cost_Assumptions'!$B$6,'Sales_Detail'!$A$2:$A$289,"&lt;="&amp;'Cost_Assumptions'!$B$7)</x:f>
        <x:v>225.41296732675403</x:v>
      </x:c>
      <x:c r="I18" s="26" t="n">
        <x:f>IFERROR(INDEX('SKU_Profitability'!$N$2:$N$25,MATCH(B18,'SKU_Profitability'!$A$2:$A$25,0)),0)</x:f>
        <x:v>9.62640062</x:v>
      </x:c>
      <x:c r="J18" s="26" t="n">
        <x:f>IFERROR(INDEX('SKU_Profitability'!$O$2:$O$25,MATCH(B18,'SKU_Profitability'!$A$2:$A$25,0)),0)+IFERROR(INDEX('SKU_Profitability'!$P$2:$P$25,MATCH(B18,'SKU_Profitability'!$A$2:$A$25,0)),0)</x:f>
        <x:v>6.035555555555556</x:v>
      </x:c>
      <x:c r="K18" s="26" t="n">
        <x:f>E18-G18-H18-D18*(I18+J18)</x:f>
        <x:v>3249.849254329599</x:v>
      </x:c>
      <x:c r="L18" s="30" t="n">
        <x:f>IF(E18=0,0,K18/E18)</x:f>
        <x:v>0.3748501322467654</x:v>
      </x:c>
      <x:c r="M18" s="30" t="n">
        <x:f>IFERROR(INDEX('SKU_Profitability'!$AD$2:$AD$25,MATCH(B18,'SKU_Profitability'!$A$2:$A$25,0)),0)</x:f>
        <x:v>0.315</x:v>
      </x:c>
      <x:c r="N18" s="8" t="str">
        <x:f>IF(D18=0,"NO SALES",IF(K18&lt;=0,"IMMEDIATE REVIEW",IF(AND(E18&gt;0,G18/E18&gt;'Cost_Assumptions'!$B$15),"FREIGHT / CUSTOMER REVIEW",IF(L18&lt;M18,"PRICE / COST REVIEW","MONITOR"))))</x:f>
        <x:v>MONITOR</x:v>
      </x:c>
    </x:row>
    <x:row r="19">
      <x:c r="A19" s="6" t="str">
        <x:v>Sample Customer D</x:v>
      </x:c>
      <x:c r="B19" s="7" t="str">
        <x:v>FG-006</x:v>
      </x:c>
      <x:c r="C19" s="7" t="str">
        <x:f>IFERROR(INDEX('Product_Master'!$B$2:$B$25,MATCH(B19,'Product_Master'!$A$2:$A$25,0)),"")</x:f>
        <x:v>Shield Red Product</x:v>
      </x:c>
      <x:c r="D19" s="24" t="n">
        <x:f>SUMIFS('Sales_Detail'!$E$2:$E$289,'Sales_Detail'!$C$2:$C$289,A19,'Sales_Detail'!$D$2:$D$289,B19,'Sales_Detail'!$A$2:$A$289,"&gt;="&amp;'Cost_Assumptions'!$B$6,'Sales_Detail'!$A$2:$A$289,"&lt;="&amp;'Cost_Assumptions'!$B$7)</x:f>
        <x:v>310</x:v>
      </x:c>
      <x:c r="E19" s="26" t="n">
        <x:f>SUMIFS('Sales_Detail'!$I$2:$I$289,'Sales_Detail'!$C$2:$C$289,A19,'Sales_Detail'!$D$2:$D$289,B19,'Sales_Detail'!$A$2:$A$289,"&gt;="&amp;'Cost_Assumptions'!$B$6,'Sales_Detail'!$A$2:$A$289,"&lt;="&amp;'Cost_Assumptions'!$B$7)</x:f>
        <x:v>9565.86929564353</x:v>
      </x:c>
      <x:c r="F19" s="26" t="n">
        <x:f>IF(D19=0,0,E19/D19)</x:f>
        <x:v>30.857642889172677</x:v>
      </x:c>
      <x:c r="G19" s="26" t="n">
        <x:f>SUMIFS('Sales_Detail'!$J$2:$J$289,'Sales_Detail'!$C$2:$C$289,A19,'Sales_Detail'!$D$2:$D$289,B19,'Sales_Detail'!$A$2:$A$289,"&gt;="&amp;'Cost_Assumptions'!$B$6,'Sales_Detail'!$A$2:$A$289,"&lt;="&amp;'Cost_Assumptions'!$B$7)</x:f>
        <x:v>697.5</x:v>
      </x:c>
      <x:c r="H19" s="26" t="n">
        <x:f>SUMIFS('Sales_Detail'!$K$2:$K$289,'Sales_Detail'!$C$2:$C$289,A19,'Sales_Detail'!$D$2:$D$289,B19,'Sales_Detail'!$A$2:$A$289,"&gt;="&amp;'Cost_Assumptions'!$B$6,'Sales_Detail'!$A$2:$A$289,"&lt;="&amp;'Cost_Assumptions'!$B$7)</x:f>
        <x:v>248.71260168673172</x:v>
      </x:c>
      <x:c r="I19" s="26" t="n">
        <x:f>IFERROR(INDEX('SKU_Profitability'!$N$2:$N$25,MATCH(B19,'SKU_Profitability'!$A$2:$A$25,0)),0)</x:f>
        <x:v>9.62640062</x:v>
      </x:c>
      <x:c r="J19" s="26" t="n">
        <x:f>IFERROR(INDEX('SKU_Profitability'!$O$2:$O$25,MATCH(B19,'SKU_Profitability'!$A$2:$A$25,0)),0)+IFERROR(INDEX('SKU_Profitability'!$P$2:$P$25,MATCH(B19,'SKU_Profitability'!$A$2:$A$25,0)),0)</x:f>
        <x:v>6.035555555555556</x:v>
      </x:c>
      <x:c r="K19" s="26" t="n">
        <x:f>E19-G19-H19-D19*(I19+J19)</x:f>
        <x:v>3764.450279534576</x:v>
      </x:c>
      <x:c r="L19" s="30" t="n">
        <x:f>IF(E19=0,0,K19/E19)</x:f>
        <x:v>0.39352934513217475</x:v>
      </x:c>
      <x:c r="M19" s="30" t="n">
        <x:f>IFERROR(INDEX('SKU_Profitability'!$AD$2:$AD$25,MATCH(B19,'SKU_Profitability'!$A$2:$A$25,0)),0)</x:f>
        <x:v>0.315</x:v>
      </x:c>
      <x:c r="N19" s="8" t="str">
        <x:f>IF(D19=0,"NO SALES",IF(K19&lt;=0,"IMMEDIATE REVIEW",IF(AND(E19&gt;0,G19/E19&gt;'Cost_Assumptions'!$B$15),"FREIGHT / CUSTOMER REVIEW",IF(L19&lt;M19,"PRICE / COST REVIEW","MONITOR"))))</x:f>
        <x:v>MONITOR</x:v>
      </x:c>
    </x:row>
    <x:row r="20">
      <x:c r="A20" s="6" t="str">
        <x:v>Sample Customer A</x:v>
      </x:c>
      <x:c r="B20" s="7" t="str">
        <x:v>FG-007</x:v>
      </x:c>
      <x:c r="C20" s="7" t="str">
        <x:f>IFERROR(INDEX('Product_Master'!$B$2:$B$25,MATCH(B20,'Product_Master'!$A$2:$A$25,0)),"")</x:f>
        <x:v>Guard White Product</x:v>
      </x:c>
      <x:c r="D20" s="24" t="n">
        <x:f>SUMIFS('Sales_Detail'!$E$2:$E$289,'Sales_Detail'!$C$2:$C$289,A20,'Sales_Detail'!$D$2:$D$289,B20,'Sales_Detail'!$A$2:$A$289,"&gt;="&amp;'Cost_Assumptions'!$B$6,'Sales_Detail'!$A$2:$A$289,"&lt;="&amp;'Cost_Assumptions'!$B$7)</x:f>
        <x:v>480</x:v>
      </x:c>
      <x:c r="E20" s="26" t="n">
        <x:f>SUMIFS('Sales_Detail'!$I$2:$I$289,'Sales_Detail'!$C$2:$C$289,A20,'Sales_Detail'!$D$2:$D$289,B20,'Sales_Detail'!$A$2:$A$289,"&gt;="&amp;'Cost_Assumptions'!$B$6,'Sales_Detail'!$A$2:$A$289,"&lt;="&amp;'Cost_Assumptions'!$B$7)</x:f>
        <x:v>8185.031274742107</x:v>
      </x:c>
      <x:c r="F20" s="26" t="n">
        <x:f>IF(D20=0,0,E20/D20)</x:f>
        <x:v>17.052148489046054</x:v>
      </x:c>
      <x:c r="G20" s="26" t="n">
        <x:f>SUMIFS('Sales_Detail'!$J$2:$J$289,'Sales_Detail'!$C$2:$C$289,A20,'Sales_Detail'!$D$2:$D$289,B20,'Sales_Detail'!$A$2:$A$289,"&gt;="&amp;'Cost_Assumptions'!$B$6,'Sales_Detail'!$A$2:$A$289,"&lt;="&amp;'Cost_Assumptions'!$B$7)</x:f>
        <x:v>1488</x:v>
      </x:c>
      <x:c r="H20" s="26" t="n">
        <x:f>SUMIFS('Sales_Detail'!$K$2:$K$289,'Sales_Detail'!$C$2:$C$289,A20,'Sales_Detail'!$D$2:$D$289,B20,'Sales_Detail'!$A$2:$A$289,"&gt;="&amp;'Cost_Assumptions'!$B$6,'Sales_Detail'!$A$2:$A$289,"&lt;="&amp;'Cost_Assumptions'!$B$7)</x:f>
        <x:v>147.33056294535788</x:v>
      </x:c>
      <x:c r="I20" s="26" t="n">
        <x:f>IFERROR(INDEX('SKU_Profitability'!$N$2:$N$25,MATCH(B20,'SKU_Profitability'!$A$2:$A$25,0)),0)</x:f>
        <x:v>9.06621397</x:v>
      </x:c>
      <x:c r="J20" s="26" t="n">
        <x:f>IFERROR(INDEX('SKU_Profitability'!$O$2:$O$25,MATCH(B20,'SKU_Profitability'!$A$2:$A$25,0)),0)+IFERROR(INDEX('SKU_Profitability'!$P$2:$P$25,MATCH(B20,'SKU_Profitability'!$A$2:$A$25,0)),0)</x:f>
        <x:v>1.0460416666666665</x:v>
      </x:c>
      <x:c r="K20" s="26" t="n">
        <x:f>E20-G20-H20-D20*(I20+J20)</x:f>
        <x:v>1695.8180061967487</x:v>
      </x:c>
      <x:c r="L20" s="30" t="n">
        <x:f>IF(E20=0,0,K20/E20)</x:f>
        <x:v>0.20718528118882237</x:v>
      </x:c>
      <x:c r="M20" s="30" t="n">
        <x:f>IFERROR(INDEX('SKU_Profitability'!$AD$2:$AD$25,MATCH(B20,'SKU_Profitability'!$A$2:$A$25,0)),0)</x:f>
        <x:v>0.32999999999999996</x:v>
      </x:c>
      <x:c r="N20" s="8" t="str">
        <x:f>IF(D20=0,"NO SALES",IF(K20&lt;=0,"IMMEDIATE REVIEW",IF(AND(E20&gt;0,G20/E20&gt;'Cost_Assumptions'!$B$15),"FREIGHT / CUSTOMER REVIEW",IF(L20&lt;M20,"PRICE / COST REVIEW","MONITOR"))))</x:f>
        <x:v>FREIGHT / CUSTOMER REVIEW</x:v>
      </x:c>
    </x:row>
    <x:row r="21">
      <x:c r="A21" s="6" t="str">
        <x:v>Sample Customer C</x:v>
      </x:c>
      <x:c r="B21" s="7" t="str">
        <x:v>FG-007</x:v>
      </x:c>
      <x:c r="C21" s="7" t="str">
        <x:f>IFERROR(INDEX('Product_Master'!$B$2:$B$25,MATCH(B21,'Product_Master'!$A$2:$A$25,0)),"")</x:f>
        <x:v>Guard White Product</x:v>
      </x:c>
      <x:c r="D21" s="24" t="n">
        <x:f>SUMIFS('Sales_Detail'!$E$2:$E$289,'Sales_Detail'!$C$2:$C$289,A21,'Sales_Detail'!$D$2:$D$289,B21,'Sales_Detail'!$A$2:$A$289,"&gt;="&amp;'Cost_Assumptions'!$B$6,'Sales_Detail'!$A$2:$A$289,"&lt;="&amp;'Cost_Assumptions'!$B$7)</x:f>
        <x:v>520</x:v>
      </x:c>
      <x:c r="E21" s="26" t="n">
        <x:f>SUMIFS('Sales_Detail'!$I$2:$I$289,'Sales_Detail'!$C$2:$C$289,A21,'Sales_Detail'!$D$2:$D$289,B21,'Sales_Detail'!$A$2:$A$289,"&gt;="&amp;'Cost_Assumptions'!$B$6,'Sales_Detail'!$A$2:$A$289,"&lt;="&amp;'Cost_Assumptions'!$B$7)</x:f>
        <x:v>9188.011319652549</x:v>
      </x:c>
      <x:c r="F21" s="26" t="n">
        <x:f>IF(D21=0,0,E21/D21)</x:f>
        <x:v>17.669252537793362</x:v>
      </x:c>
      <x:c r="G21" s="26" t="n">
        <x:f>SUMIFS('Sales_Detail'!$J$2:$J$289,'Sales_Detail'!$C$2:$C$289,A21,'Sales_Detail'!$D$2:$D$289,B21,'Sales_Detail'!$A$2:$A$289,"&gt;="&amp;'Cost_Assumptions'!$B$6,'Sales_Detail'!$A$2:$A$289,"&lt;="&amp;'Cost_Assumptions'!$B$7)</x:f>
        <x:v>1612</x:v>
      </x:c>
      <x:c r="H21" s="26" t="n">
        <x:f>SUMIFS('Sales_Detail'!$K$2:$K$289,'Sales_Detail'!$C$2:$C$289,A21,'Sales_Detail'!$D$2:$D$289,B21,'Sales_Detail'!$A$2:$A$289,"&gt;="&amp;'Cost_Assumptions'!$B$6,'Sales_Detail'!$A$2:$A$289,"&lt;="&amp;'Cost_Assumptions'!$B$7)</x:f>
        <x:v>165.38420375374585</x:v>
      </x:c>
      <x:c r="I21" s="26" t="n">
        <x:f>IFERROR(INDEX('SKU_Profitability'!$N$2:$N$25,MATCH(B21,'SKU_Profitability'!$A$2:$A$25,0)),0)</x:f>
        <x:v>9.06621397</x:v>
      </x:c>
      <x:c r="J21" s="26" t="n">
        <x:f>IFERROR(INDEX('SKU_Profitability'!$O$2:$O$25,MATCH(B21,'SKU_Profitability'!$A$2:$A$25,0)),0)+IFERROR(INDEX('SKU_Profitability'!$P$2:$P$25,MATCH(B21,'SKU_Profitability'!$A$2:$A$25,0)),0)</x:f>
        <x:v>1.0460416666666665</x:v>
      </x:c>
      <x:c r="K21" s="26" t="n">
        <x:f>E21-G21-H21-D21*(I21+J21)</x:f>
        <x:v>2152.254184832136</x:v>
      </x:c>
      <x:c r="L21" s="30" t="n">
        <x:f>IF(E21=0,0,K21/E21)</x:f>
        <x:v>0.234245922208281</x:v>
      </x:c>
      <x:c r="M21" s="30" t="n">
        <x:f>IFERROR(INDEX('SKU_Profitability'!$AD$2:$AD$25,MATCH(B21,'SKU_Profitability'!$A$2:$A$25,0)),0)</x:f>
        <x:v>0.32999999999999996</x:v>
      </x:c>
      <x:c r="N21" s="8" t="str">
        <x:f>IF(D21=0,"NO SALES",IF(K21&lt;=0,"IMMEDIATE REVIEW",IF(AND(E21&gt;0,G21/E21&gt;'Cost_Assumptions'!$B$15),"FREIGHT / CUSTOMER REVIEW",IF(L21&lt;M21,"PRICE / COST REVIEW","MONITOR"))))</x:f>
        <x:v>FREIGHT / CUSTOMER REVIEW</x:v>
      </x:c>
    </x:row>
    <x:row r="22">
      <x:c r="A22" s="6" t="str">
        <x:v>Sample Customer E</x:v>
      </x:c>
      <x:c r="B22" s="7" t="str">
        <x:v>FG-007</x:v>
      </x:c>
      <x:c r="C22" s="7" t="str">
        <x:f>IFERROR(INDEX('Product_Master'!$B$2:$B$25,MATCH(B22,'Product_Master'!$A$2:$A$25,0)),"")</x:f>
        <x:v>Guard White Product</x:v>
      </x:c>
      <x:c r="D22" s="24" t="n">
        <x:f>SUMIFS('Sales_Detail'!$E$2:$E$289,'Sales_Detail'!$C$2:$C$289,A22,'Sales_Detail'!$D$2:$D$289,B22,'Sales_Detail'!$A$2:$A$289,"&gt;="&amp;'Cost_Assumptions'!$B$6,'Sales_Detail'!$A$2:$A$289,"&lt;="&amp;'Cost_Assumptions'!$B$7)</x:f>
        <x:v>550</x:v>
      </x:c>
      <x:c r="E22" s="26" t="n">
        <x:f>SUMIFS('Sales_Detail'!$I$2:$I$289,'Sales_Detail'!$C$2:$C$289,A22,'Sales_Detail'!$D$2:$D$289,B22,'Sales_Detail'!$A$2:$A$289,"&gt;="&amp;'Cost_Assumptions'!$B$6,'Sales_Detail'!$A$2:$A$289,"&lt;="&amp;'Cost_Assumptions'!$B$7)</x:f>
        <x:v>10009.63156265994</x:v>
      </x:c>
      <x:c r="F22" s="26" t="n">
        <x:f>IF(D22=0,0,E22/D22)</x:f>
        <x:v>18.199330113927164</x:v>
      </x:c>
      <x:c r="G22" s="26" t="n">
        <x:f>SUMIFS('Sales_Detail'!$J$2:$J$289,'Sales_Detail'!$C$2:$C$289,A22,'Sales_Detail'!$D$2:$D$289,B22,'Sales_Detail'!$A$2:$A$289,"&gt;="&amp;'Cost_Assumptions'!$B$6,'Sales_Detail'!$A$2:$A$289,"&lt;="&amp;'Cost_Assumptions'!$B$7)</x:f>
        <x:v>2011.8999999999996</x:v>
      </x:c>
      <x:c r="H22" s="26" t="n">
        <x:f>SUMIFS('Sales_Detail'!$K$2:$K$289,'Sales_Detail'!$C$2:$C$289,A22,'Sales_Detail'!$D$2:$D$289,B22,'Sales_Detail'!$A$2:$A$289,"&gt;="&amp;'Cost_Assumptions'!$B$6,'Sales_Detail'!$A$2:$A$289,"&lt;="&amp;'Cost_Assumptions'!$B$7)</x:f>
        <x:v>180.17336812787892</x:v>
      </x:c>
      <x:c r="I22" s="26" t="n">
        <x:f>IFERROR(INDEX('SKU_Profitability'!$N$2:$N$25,MATCH(B22,'SKU_Profitability'!$A$2:$A$25,0)),0)</x:f>
        <x:v>9.06621397</x:v>
      </x:c>
      <x:c r="J22" s="26" t="n">
        <x:f>IFERROR(INDEX('SKU_Profitability'!$O$2:$O$25,MATCH(B22,'SKU_Profitability'!$A$2:$A$25,0)),0)+IFERROR(INDEX('SKU_Profitability'!$P$2:$P$25,MATCH(B22,'SKU_Profitability'!$A$2:$A$25,0)),0)</x:f>
        <x:v>1.0460416666666665</x:v>
      </x:c>
      <x:c r="K22" s="26" t="n">
        <x:f>E22-G22-H22-D22*(I22+J22)</x:f>
        <x:v>2255.817594365395</x:v>
      </x:c>
      <x:c r="L22" s="30" t="n">
        <x:f>IF(E22=0,0,K22/E22)</x:f>
        <x:v>0.225364698015512</x:v>
      </x:c>
      <x:c r="M22" s="30" t="n">
        <x:f>IFERROR(INDEX('SKU_Profitability'!$AD$2:$AD$25,MATCH(B22,'SKU_Profitability'!$A$2:$A$25,0)),0)</x:f>
        <x:v>0.32999999999999996</x:v>
      </x:c>
      <x:c r="N22" s="8" t="str">
        <x:f>IF(D22=0,"NO SALES",IF(K22&lt;=0,"IMMEDIATE REVIEW",IF(AND(E22&gt;0,G22/E22&gt;'Cost_Assumptions'!$B$15),"FREIGHT / CUSTOMER REVIEW",IF(L22&lt;M22,"PRICE / COST REVIEW","MONITOR"))))</x:f>
        <x:v>FREIGHT / CUSTOMER REVIEW</x:v>
      </x:c>
    </x:row>
    <x:row r="23">
      <x:c r="A23" s="6" t="str">
        <x:v>Sample Customer B</x:v>
      </x:c>
      <x:c r="B23" s="7" t="str">
        <x:v>FG-008</x:v>
      </x:c>
      <x:c r="C23" s="7" t="str">
        <x:f>IFERROR(INDEX('Product_Master'!$B$2:$B$25,MATCH(B23,'Product_Master'!$A$2:$A$25,0)),"")</x:f>
        <x:v>Guard Black Product</x:v>
      </x:c>
      <x:c r="D23" s="24" t="n">
        <x:f>SUMIFS('Sales_Detail'!$E$2:$E$289,'Sales_Detail'!$C$2:$C$289,A23,'Sales_Detail'!$D$2:$D$289,B23,'Sales_Detail'!$A$2:$A$289,"&gt;="&amp;'Cost_Assumptions'!$B$6,'Sales_Detail'!$A$2:$A$289,"&lt;="&amp;'Cost_Assumptions'!$B$7)</x:f>
        <x:v>600</x:v>
      </x:c>
      <x:c r="E23" s="26" t="n">
        <x:f>SUMIFS('Sales_Detail'!$I$2:$I$289,'Sales_Detail'!$C$2:$C$289,A23,'Sales_Detail'!$D$2:$D$289,B23,'Sales_Detail'!$A$2:$A$289,"&gt;="&amp;'Cost_Assumptions'!$B$6,'Sales_Detail'!$A$2:$A$289,"&lt;="&amp;'Cost_Assumptions'!$B$7)</x:f>
        <x:v>9028.214180514955</x:v>
      </x:c>
      <x:c r="F23" s="26" t="n">
        <x:f>IF(D23=0,0,E23/D23)</x:f>
        <x:v>15.047023634191591</x:v>
      </x:c>
      <x:c r="G23" s="26" t="n">
        <x:f>SUMIFS('Sales_Detail'!$J$2:$J$289,'Sales_Detail'!$C$2:$C$289,A23,'Sales_Detail'!$D$2:$D$289,B23,'Sales_Detail'!$A$2:$A$289,"&gt;="&amp;'Cost_Assumptions'!$B$6,'Sales_Detail'!$A$2:$A$289,"&lt;="&amp;'Cost_Assumptions'!$B$7)</x:f>
        <x:v>2370</x:v>
      </x:c>
      <x:c r="H23" s="26" t="n">
        <x:f>SUMIFS('Sales_Detail'!$K$2:$K$289,'Sales_Detail'!$C$2:$C$289,A23,'Sales_Detail'!$D$2:$D$289,B23,'Sales_Detail'!$A$2:$A$289,"&gt;="&amp;'Cost_Assumptions'!$B$6,'Sales_Detail'!$A$2:$A$289,"&lt;="&amp;'Cost_Assumptions'!$B$7)</x:f>
        <x:v>198.620711971329</x:v>
      </x:c>
      <x:c r="I23" s="26" t="n">
        <x:f>IFERROR(INDEX('SKU_Profitability'!$N$2:$N$25,MATCH(B23,'SKU_Profitability'!$A$2:$A$25,0)),0)</x:f>
        <x:v>10.662801367</x:v>
      </x:c>
      <x:c r="J23" s="26" t="n">
        <x:f>IFERROR(INDEX('SKU_Profitability'!$O$2:$O$25,MATCH(B23,'SKU_Profitability'!$A$2:$A$25,0)),0)+IFERROR(INDEX('SKU_Profitability'!$P$2:$P$25,MATCH(B23,'SKU_Profitability'!$A$2:$A$25,0)),0)</x:f>
        <x:v>1.0716309523809524</x:v>
      </x:c>
      <x:c r="K23" s="26" t="n">
        <x:f>E23-G23-H23-D23*(I23+J23)</x:f>
        <x:v>-581.0659230849451</x:v>
      </x:c>
      <x:c r="L23" s="30" t="n">
        <x:f>IF(E23=0,0,K23/E23)</x:f>
        <x:v>-0.06436111411036574</x:v>
      </x:c>
      <x:c r="M23" s="30" t="n">
        <x:f>IFERROR(INDEX('SKU_Profitability'!$AD$2:$AD$25,MATCH(B23,'SKU_Profitability'!$A$2:$A$25,0)),0)</x:f>
        <x:v>0.345</x:v>
      </x:c>
      <x:c r="N23" s="8" t="str">
        <x:f>IF(D23=0,"NO SALES",IF(K23&lt;=0,"IMMEDIATE REVIEW",IF(AND(E23&gt;0,G23/E23&gt;'Cost_Assumptions'!$B$15),"FREIGHT / CUSTOMER REVIEW",IF(L23&lt;M23,"PRICE / COST REVIEW","MONITOR"))))</x:f>
        <x:v>IMMEDIATE REVIEW</x:v>
      </x:c>
    </x:row>
    <x:row r="24">
      <x:c r="A24" s="6" t="str">
        <x:v>Sample Customer D</x:v>
      </x:c>
      <x:c r="B24" s="7" t="str">
        <x:v>FG-008</x:v>
      </x:c>
      <x:c r="C24" s="7" t="str">
        <x:f>IFERROR(INDEX('Product_Master'!$B$2:$B$25,MATCH(B24,'Product_Master'!$A$2:$A$25,0)),"")</x:f>
        <x:v>Guard Black Product</x:v>
      </x:c>
      <x:c r="D24" s="24" t="n">
        <x:f>SUMIFS('Sales_Detail'!$E$2:$E$289,'Sales_Detail'!$C$2:$C$289,A24,'Sales_Detail'!$D$2:$D$289,B24,'Sales_Detail'!$A$2:$A$289,"&gt;="&amp;'Cost_Assumptions'!$B$6,'Sales_Detail'!$A$2:$A$289,"&lt;="&amp;'Cost_Assumptions'!$B$7)</x:f>
        <x:v>640</x:v>
      </x:c>
      <x:c r="E24" s="26" t="n">
        <x:f>SUMIFS('Sales_Detail'!$I$2:$I$289,'Sales_Detail'!$C$2:$C$289,A24,'Sales_Detail'!$D$2:$D$289,B24,'Sales_Detail'!$A$2:$A$289,"&gt;="&amp;'Cost_Assumptions'!$B$6,'Sales_Detail'!$A$2:$A$289,"&lt;="&amp;'Cost_Assumptions'!$B$7)</x:f>
        <x:v>9927.933119466617</x:v>
      </x:c>
      <x:c r="F24" s="26" t="n">
        <x:f>IF(D24=0,0,E24/D24)</x:f>
        <x:v>15.51239549916659</x:v>
      </x:c>
      <x:c r="G24" s="26" t="n">
        <x:f>SUMIFS('Sales_Detail'!$J$2:$J$289,'Sales_Detail'!$C$2:$C$289,A24,'Sales_Detail'!$D$2:$D$289,B24,'Sales_Detail'!$A$2:$A$289,"&gt;="&amp;'Cost_Assumptions'!$B$6,'Sales_Detail'!$A$2:$A$289,"&lt;="&amp;'Cost_Assumptions'!$B$7)</x:f>
        <x:v>2528</x:v>
      </x:c>
      <x:c r="H24" s="26" t="n">
        <x:f>SUMIFS('Sales_Detail'!$K$2:$K$289,'Sales_Detail'!$C$2:$C$289,A24,'Sales_Detail'!$D$2:$D$289,B24,'Sales_Detail'!$A$2:$A$289,"&gt;="&amp;'Cost_Assumptions'!$B$6,'Sales_Detail'!$A$2:$A$289,"&lt;="&amp;'Cost_Assumptions'!$B$7)</x:f>
        <x:v>218.41452862826554</x:v>
      </x:c>
      <x:c r="I24" s="26" t="n">
        <x:f>IFERROR(INDEX('SKU_Profitability'!$N$2:$N$25,MATCH(B24,'SKU_Profitability'!$A$2:$A$25,0)),0)</x:f>
        <x:v>10.662801367</x:v>
      </x:c>
      <x:c r="J24" s="26" t="n">
        <x:f>IFERROR(INDEX('SKU_Profitability'!$O$2:$O$25,MATCH(B24,'SKU_Profitability'!$A$2:$A$25,0)),0)+IFERROR(INDEX('SKU_Profitability'!$P$2:$P$25,MATCH(B24,'SKU_Profitability'!$A$2:$A$25,0)),0)</x:f>
        <x:v>1.0716309523809524</x:v>
      </x:c>
      <x:c r="K24" s="26" t="n">
        <x:f>E24-G24-H24-D24*(I24+J24)</x:f>
        <x:v>-328.5180935654571</x:v>
      </x:c>
      <x:c r="L24" s="30" t="n">
        <x:f>IF(E24=0,0,K24/E24)</x:f>
        <x:v>-0.03309028068705472</x:v>
      </x:c>
      <x:c r="M24" s="30" t="n">
        <x:f>IFERROR(INDEX('SKU_Profitability'!$AD$2:$AD$25,MATCH(B24,'SKU_Profitability'!$A$2:$A$25,0)),0)</x:f>
        <x:v>0.345</x:v>
      </x:c>
      <x:c r="N24" s="8" t="str">
        <x:f>IF(D24=0,"NO SALES",IF(K24&lt;=0,"IMMEDIATE REVIEW",IF(AND(E24&gt;0,G24/E24&gt;'Cost_Assumptions'!$B$15),"FREIGHT / CUSTOMER REVIEW",IF(L24&lt;M24,"PRICE / COST REVIEW","MONITOR"))))</x:f>
        <x:v>IMMEDIATE REVIEW</x:v>
      </x:c>
    </x:row>
    <x:row r="25">
      <x:c r="A25" s="6" t="str">
        <x:v>Sample Customer F</x:v>
      </x:c>
      <x:c r="B25" s="7" t="str">
        <x:v>FG-008</x:v>
      </x:c>
      <x:c r="C25" s="7" t="str">
        <x:f>IFERROR(INDEX('Product_Master'!$B$2:$B$25,MATCH(B25,'Product_Master'!$A$2:$A$25,0)),"")</x:f>
        <x:v>Guard Black Product</x:v>
      </x:c>
      <x:c r="D25" s="24" t="n">
        <x:f>SUMIFS('Sales_Detail'!$E$2:$E$289,'Sales_Detail'!$C$2:$C$289,A25,'Sales_Detail'!$D$2:$D$289,B25,'Sales_Detail'!$A$2:$A$289,"&gt;="&amp;'Cost_Assumptions'!$B$6,'Sales_Detail'!$A$2:$A$289,"&lt;="&amp;'Cost_Assumptions'!$B$7)</x:f>
        <x:v>550</x:v>
      </x:c>
      <x:c r="E25" s="26" t="n">
        <x:f>SUMIFS('Sales_Detail'!$I$2:$I$289,'Sales_Detail'!$C$2:$C$289,A25,'Sales_Detail'!$D$2:$D$289,B25,'Sales_Detail'!$A$2:$A$289,"&gt;="&amp;'Cost_Assumptions'!$B$6,'Sales_Detail'!$A$2:$A$289,"&lt;="&amp;'Cost_Assumptions'!$B$7)</x:f>
        <x:v>8768.57797909368</x:v>
      </x:c>
      <x:c r="F25" s="26" t="n">
        <x:f>IF(D25=0,0,E25/D25)</x:f>
        <x:v>15.9428690528976</x:v>
      </x:c>
      <x:c r="G25" s="26" t="n">
        <x:f>SUMIFS('Sales_Detail'!$J$2:$J$289,'Sales_Detail'!$C$2:$C$289,A25,'Sales_Detail'!$D$2:$D$289,B25,'Sales_Detail'!$A$2:$A$289,"&gt;="&amp;'Cost_Assumptions'!$B$6,'Sales_Detail'!$A$2:$A$289,"&lt;="&amp;'Cost_Assumptions'!$B$7)</x:f>
        <x:v>2932.875</x:v>
      </x:c>
      <x:c r="H25" s="26" t="n">
        <x:f>SUMIFS('Sales_Detail'!$K$2:$K$289,'Sales_Detail'!$C$2:$C$289,A25,'Sales_Detail'!$D$2:$D$289,B25,'Sales_Detail'!$A$2:$A$289,"&gt;="&amp;'Cost_Assumptions'!$B$6,'Sales_Detail'!$A$2:$A$289,"&lt;="&amp;'Cost_Assumptions'!$B$7)</x:f>
        <x:v>192.9087155400609</x:v>
      </x:c>
      <x:c r="I25" s="26" t="n">
        <x:f>IFERROR(INDEX('SKU_Profitability'!$N$2:$N$25,MATCH(B25,'SKU_Profitability'!$A$2:$A$25,0)),0)</x:f>
        <x:v>10.662801367</x:v>
      </x:c>
      <x:c r="J25" s="26" t="n">
        <x:f>IFERROR(INDEX('SKU_Profitability'!$O$2:$O$25,MATCH(B25,'SKU_Profitability'!$A$2:$A$25,0)),0)+IFERROR(INDEX('SKU_Profitability'!$P$2:$P$25,MATCH(B25,'SKU_Profitability'!$A$2:$A$25,0)),0)</x:f>
        <x:v>1.0716309523809524</x:v>
      </x:c>
      <x:c r="K25" s="26" t="n">
        <x:f>E25-G25-H25-D25*(I25+J25)</x:f>
        <x:v>-811.1435121059048</x:v>
      </x:c>
      <x:c r="L25" s="30" t="n">
        <x:f>IF(E25=0,0,K25/E25)</x:f>
        <x:v>-0.09250570777152907</x:v>
      </x:c>
      <x:c r="M25" s="30" t="n">
        <x:f>IFERROR(INDEX('SKU_Profitability'!$AD$2:$AD$25,MATCH(B25,'SKU_Profitability'!$A$2:$A$25,0)),0)</x:f>
        <x:v>0.345</x:v>
      </x:c>
      <x:c r="N25" s="8" t="str">
        <x:f>IF(D25=0,"NO SALES",IF(K25&lt;=0,"IMMEDIATE REVIEW",IF(AND(E25&gt;0,G25/E25&gt;'Cost_Assumptions'!$B$15),"FREIGHT / CUSTOMER REVIEW",IF(L25&lt;M25,"PRICE / COST REVIEW","MONITOR"))))</x:f>
        <x:v>IMMEDIATE REVIEW</x:v>
      </x:c>
    </x:row>
    <x:row r="26">
      <x:c r="A26" s="6" t="str">
        <x:v>Sample Customer C</x:v>
      </x:c>
      <x:c r="B26" s="7" t="str">
        <x:v>FG-009</x:v>
      </x:c>
      <x:c r="C26" s="7" t="str">
        <x:f>IFERROR(INDEX('Product_Master'!$B$2:$B$25,MATCH(B26,'Product_Master'!$A$2:$A$25,0)),"")</x:f>
        <x:v>Guard Tan Product</x:v>
      </x:c>
      <x:c r="D26" s="24" t="n">
        <x:f>SUMIFS('Sales_Detail'!$E$2:$E$289,'Sales_Detail'!$C$2:$C$289,A26,'Sales_Detail'!$D$2:$D$289,B26,'Sales_Detail'!$A$2:$A$289,"&gt;="&amp;'Cost_Assumptions'!$B$6,'Sales_Detail'!$A$2:$A$289,"&lt;="&amp;'Cost_Assumptions'!$B$7)</x:f>
        <x:v>1230</x:v>
      </x:c>
      <x:c r="E26" s="26" t="n">
        <x:f>SUMIFS('Sales_Detail'!$I$2:$I$289,'Sales_Detail'!$C$2:$C$289,A26,'Sales_Detail'!$D$2:$D$289,B26,'Sales_Detail'!$A$2:$A$289,"&gt;="&amp;'Cost_Assumptions'!$B$6,'Sales_Detail'!$A$2:$A$289,"&lt;="&amp;'Cost_Assumptions'!$B$7)</x:f>
        <x:v>25663.232292754277</x:v>
      </x:c>
      <x:c r="F26" s="26" t="n">
        <x:f>IF(D26=0,0,E26/D26)</x:f>
        <x:v>20.864416498174208</x:v>
      </x:c>
      <x:c r="G26" s="26" t="n">
        <x:f>SUMIFS('Sales_Detail'!$J$2:$J$289,'Sales_Detail'!$C$2:$C$289,A26,'Sales_Detail'!$D$2:$D$289,B26,'Sales_Detail'!$A$2:$A$289,"&gt;="&amp;'Cost_Assumptions'!$B$6,'Sales_Detail'!$A$2:$A$289,"&lt;="&amp;'Cost_Assumptions'!$B$7)</x:f>
        <x:v>5904</x:v>
      </x:c>
      <x:c r="H26" s="26" t="n">
        <x:f>SUMIFS('Sales_Detail'!$K$2:$K$289,'Sales_Detail'!$C$2:$C$289,A26,'Sales_Detail'!$D$2:$D$289,B26,'Sales_Detail'!$A$2:$A$289,"&gt;="&amp;'Cost_Assumptions'!$B$6,'Sales_Detail'!$A$2:$A$289,"&lt;="&amp;'Cost_Assumptions'!$B$7)</x:f>
        <x:v>667.2440396116111</x:v>
      </x:c>
      <x:c r="I26" s="26" t="n">
        <x:f>IFERROR(INDEX('SKU_Profitability'!$N$2:$N$25,MATCH(B26,'SKU_Profitability'!$A$2:$A$25,0)),0)</x:f>
        <x:v>10.49879421</x:v>
      </x:c>
      <x:c r="J26" s="26" t="n">
        <x:f>IFERROR(INDEX('SKU_Profitability'!$O$2:$O$25,MATCH(B26,'SKU_Profitability'!$A$2:$A$25,0)),0)+IFERROR(INDEX('SKU_Profitability'!$P$2:$P$25,MATCH(B26,'SKU_Profitability'!$A$2:$A$25,0)),0)</x:f>
        <x:v>1.7483125</x:v>
      </x:c>
      <x:c r="K26" s="26" t="n">
        <x:f>E26-G26-H26-D26*(I26+J26)</x:f>
        <x:v>4028.046999842665</x:v>
      </x:c>
      <x:c r="L26" s="30" t="n">
        <x:f>IF(E26=0,0,K26/E26)</x:f>
        <x:v>0.1569578981280522</x:v>
      </x:c>
      <x:c r="M26" s="30" t="n">
        <x:f>IFERROR(INDEX('SKU_Profitability'!$AD$2:$AD$25,MATCH(B26,'SKU_Profitability'!$A$2:$A$25,0)),0)</x:f>
        <x:v>0.3</x:v>
      </x:c>
      <x:c r="N26" s="8" t="str">
        <x:f>IF(D26=0,"NO SALES",IF(K26&lt;=0,"IMMEDIATE REVIEW",IF(AND(E26&gt;0,G26/E26&gt;'Cost_Assumptions'!$B$15),"FREIGHT / CUSTOMER REVIEW",IF(L26&lt;M26,"PRICE / COST REVIEW","MONITOR"))))</x:f>
        <x:v>FREIGHT / CUSTOMER REVIEW</x:v>
      </x:c>
    </x:row>
    <x:row r="27">
      <x:c r="A27" s="6" t="str">
        <x:v>Sample Customer E</x:v>
      </x:c>
      <x:c r="B27" s="7" t="str">
        <x:v>FG-009</x:v>
      </x:c>
      <x:c r="C27" s="7" t="str">
        <x:f>IFERROR(INDEX('Product_Master'!$B$2:$B$25,MATCH(B27,'Product_Master'!$A$2:$A$25,0)),"")</x:f>
        <x:v>Guard Tan Product</x:v>
      </x:c>
      <x:c r="D27" s="24" t="n">
        <x:f>SUMIFS('Sales_Detail'!$E$2:$E$289,'Sales_Detail'!$C$2:$C$289,A27,'Sales_Detail'!$D$2:$D$289,B27,'Sales_Detail'!$A$2:$A$289,"&gt;="&amp;'Cost_Assumptions'!$B$6,'Sales_Detail'!$A$2:$A$289,"&lt;="&amp;'Cost_Assumptions'!$B$7)</x:f>
        <x:v>1060</x:v>
      </x:c>
      <x:c r="E27" s="26" t="n">
        <x:f>SUMIFS('Sales_Detail'!$I$2:$I$289,'Sales_Detail'!$C$2:$C$289,A27,'Sales_Detail'!$D$2:$D$289,B27,'Sales_Detail'!$A$2:$A$289,"&gt;="&amp;'Cost_Assumptions'!$B$6,'Sales_Detail'!$A$2:$A$289,"&lt;="&amp;'Cost_Assumptions'!$B$7)</x:f>
        <x:v>22761.838937977922</x:v>
      </x:c>
      <x:c r="F27" s="26" t="n">
        <x:f>IF(D27=0,0,E27/D27)</x:f>
        <x:v>21.47343296035653</x:v>
      </x:c>
      <x:c r="G27" s="26" t="n">
        <x:f>SUMIFS('Sales_Detail'!$J$2:$J$289,'Sales_Detail'!$C$2:$C$289,A27,'Sales_Detail'!$D$2:$D$289,B27,'Sales_Detail'!$A$2:$A$289,"&gt;="&amp;'Cost_Assumptions'!$B$6,'Sales_Detail'!$A$2:$A$289,"&lt;="&amp;'Cost_Assumptions'!$B$7)</x:f>
        <x:v>6003.84</x:v>
      </x:c>
      <x:c r="H27" s="26" t="n">
        <x:f>SUMIFS('Sales_Detail'!$K$2:$K$289,'Sales_Detail'!$C$2:$C$289,A27,'Sales_Detail'!$D$2:$D$289,B27,'Sales_Detail'!$A$2:$A$289,"&gt;="&amp;'Cost_Assumptions'!$B$6,'Sales_Detail'!$A$2:$A$289,"&lt;="&amp;'Cost_Assumptions'!$B$7)</x:f>
        <x:v>591.807812387426</x:v>
      </x:c>
      <x:c r="I27" s="26" t="n">
        <x:f>IFERROR(INDEX('SKU_Profitability'!$N$2:$N$25,MATCH(B27,'SKU_Profitability'!$A$2:$A$25,0)),0)</x:f>
        <x:v>10.49879421</x:v>
      </x:c>
      <x:c r="J27" s="26" t="n">
        <x:f>IFERROR(INDEX('SKU_Profitability'!$O$2:$O$25,MATCH(B27,'SKU_Profitability'!$A$2:$A$25,0)),0)+IFERROR(INDEX('SKU_Profitability'!$P$2:$P$25,MATCH(B27,'SKU_Profitability'!$A$2:$A$25,0)),0)</x:f>
        <x:v>1.7483125</x:v>
      </x:c>
      <x:c r="K27" s="26" t="n">
        <x:f>E27-G27-H27-D27*(I27+J27)</x:f>
        <x:v>3184.2580129904945</x:v>
      </x:c>
      <x:c r="L27" s="30" t="n">
        <x:f>IF(E27=0,0,K27/E27)</x:f>
        <x:v>0.13989458504064842</x:v>
      </x:c>
      <x:c r="M27" s="30" t="n">
        <x:f>IFERROR(INDEX('SKU_Profitability'!$AD$2:$AD$25,MATCH(B27,'SKU_Profitability'!$A$2:$A$25,0)),0)</x:f>
        <x:v>0.3</x:v>
      </x:c>
      <x:c r="N27" s="8" t="str">
        <x:f>IF(D27=0,"NO SALES",IF(K27&lt;=0,"IMMEDIATE REVIEW",IF(AND(E27&gt;0,G27/E27&gt;'Cost_Assumptions'!$B$15),"FREIGHT / CUSTOMER REVIEW",IF(L27&lt;M27,"PRICE / COST REVIEW","MONITOR"))))</x:f>
        <x:v>FREIGHT / CUSTOMER REVIEW</x:v>
      </x:c>
    </x:row>
    <x:row r="28">
      <x:c r="A28" s="6" t="str">
        <x:v>Sample Customer A</x:v>
      </x:c>
      <x:c r="B28" s="7" t="str">
        <x:v>FG-009</x:v>
      </x:c>
      <x:c r="C28" s="7" t="str">
        <x:f>IFERROR(INDEX('Product_Master'!$B$2:$B$25,MATCH(B28,'Product_Master'!$A$2:$A$25,0)),"")</x:f>
        <x:v>Guard Tan Product</x:v>
      </x:c>
      <x:c r="D28" s="24" t="n">
        <x:f>SUMIFS('Sales_Detail'!$E$2:$E$289,'Sales_Detail'!$C$2:$C$289,A28,'Sales_Detail'!$D$2:$D$289,B28,'Sales_Detail'!$A$2:$A$289,"&gt;="&amp;'Cost_Assumptions'!$B$6,'Sales_Detail'!$A$2:$A$289,"&lt;="&amp;'Cost_Assumptions'!$B$7)</x:f>
        <x:v>1150</x:v>
      </x:c>
      <x:c r="E28" s="26" t="n">
        <x:f>SUMIFS('Sales_Detail'!$I$2:$I$289,'Sales_Detail'!$C$2:$C$289,A28,'Sales_Detail'!$D$2:$D$289,B28,'Sales_Detail'!$A$2:$A$289,"&gt;="&amp;'Cost_Assumptions'!$B$6,'Sales_Detail'!$A$2:$A$289,"&lt;="&amp;'Cost_Assumptions'!$B$7)</x:f>
        <x:v>25478.24880627562</x:v>
      </x:c>
      <x:c r="F28" s="26" t="n">
        <x:f>IF(D28=0,0,E28/D28)</x:f>
        <x:v>22.1549989619788</x:v>
      </x:c>
      <x:c r="G28" s="26" t="n">
        <x:f>SUMIFS('Sales_Detail'!$J$2:$J$289,'Sales_Detail'!$C$2:$C$289,A28,'Sales_Detail'!$D$2:$D$289,B28,'Sales_Detail'!$A$2:$A$289,"&gt;="&amp;'Cost_Assumptions'!$B$6,'Sales_Detail'!$A$2:$A$289,"&lt;="&amp;'Cost_Assumptions'!$B$7)</x:f>
        <x:v>5520</x:v>
      </x:c>
      <x:c r="H28" s="26" t="n">
        <x:f>SUMIFS('Sales_Detail'!$K$2:$K$289,'Sales_Detail'!$C$2:$C$289,A28,'Sales_Detail'!$D$2:$D$289,B28,'Sales_Detail'!$A$2:$A$289,"&gt;="&amp;'Cost_Assumptions'!$B$6,'Sales_Detail'!$A$2:$A$289,"&lt;="&amp;'Cost_Assumptions'!$B$7)</x:f>
        <x:v>662.4344689631662</x:v>
      </x:c>
      <x:c r="I28" s="26" t="n">
        <x:f>IFERROR(INDEX('SKU_Profitability'!$N$2:$N$25,MATCH(B28,'SKU_Profitability'!$A$2:$A$25,0)),0)</x:f>
        <x:v>10.49879421</x:v>
      </x:c>
      <x:c r="J28" s="26" t="n">
        <x:f>IFERROR(INDEX('SKU_Profitability'!$O$2:$O$25,MATCH(B28,'SKU_Profitability'!$A$2:$A$25,0)),0)+IFERROR(INDEX('SKU_Profitability'!$P$2:$P$25,MATCH(B28,'SKU_Profitability'!$A$2:$A$25,0)),0)</x:f>
        <x:v>1.7483125</x:v>
      </x:c>
      <x:c r="K28" s="26" t="n">
        <x:f>E28-G28-H28-D28*(I28+J28)</x:f>
        <x:v>5211.641620812454</x:v>
      </x:c>
      <x:c r="L28" s="30" t="n">
        <x:f>IF(E28=0,0,K28/E28)</x:f>
        <x:v>0.20455258367399096</x:v>
      </x:c>
      <x:c r="M28" s="30" t="n">
        <x:f>IFERROR(INDEX('SKU_Profitability'!$AD$2:$AD$25,MATCH(B28,'SKU_Profitability'!$A$2:$A$25,0)),0)</x:f>
        <x:v>0.3</x:v>
      </x:c>
      <x:c r="N28" s="8" t="str">
        <x:f>IF(D28=0,"NO SALES",IF(K28&lt;=0,"IMMEDIATE REVIEW",IF(AND(E28&gt;0,G28/E28&gt;'Cost_Assumptions'!$B$15),"FREIGHT / CUSTOMER REVIEW",IF(L28&lt;M28,"PRICE / COST REVIEW","MONITOR"))))</x:f>
        <x:v>FREIGHT / CUSTOMER REVIEW</x:v>
      </x:c>
    </x:row>
    <x:row r="29">
      <x:c r="A29" s="6" t="str">
        <x:v>Sample Customer D</x:v>
      </x:c>
      <x:c r="B29" s="7" t="str">
        <x:v>FG-010</x:v>
      </x:c>
      <x:c r="C29" s="7" t="str">
        <x:f>IFERROR(INDEX('Product_Master'!$B$2:$B$25,MATCH(B29,'Product_Master'!$A$2:$A$25,0)),"")</x:f>
        <x:v>Guard Blue Product</x:v>
      </x:c>
      <x:c r="D29" s="24" t="n">
        <x:f>SUMIFS('Sales_Detail'!$E$2:$E$289,'Sales_Detail'!$C$2:$C$289,A29,'Sales_Detail'!$D$2:$D$289,B29,'Sales_Detail'!$A$2:$A$289,"&gt;="&amp;'Cost_Assumptions'!$B$6,'Sales_Detail'!$A$2:$A$289,"&lt;="&amp;'Cost_Assumptions'!$B$7)</x:f>
        <x:v>480</x:v>
      </x:c>
      <x:c r="E29" s="26" t="n">
        <x:f>SUMIFS('Sales_Detail'!$I$2:$I$289,'Sales_Detail'!$C$2:$C$289,A29,'Sales_Detail'!$D$2:$D$289,B29,'Sales_Detail'!$A$2:$A$289,"&gt;="&amp;'Cost_Assumptions'!$B$6,'Sales_Detail'!$A$2:$A$289,"&lt;="&amp;'Cost_Assumptions'!$B$7)</x:f>
        <x:v>17214.394319130934</x:v>
      </x:c>
      <x:c r="F29" s="26" t="n">
        <x:f>IF(D29=0,0,E29/D29)</x:f>
        <x:v>35.86332149818944</x:v>
      </x:c>
      <x:c r="G29" s="26" t="n">
        <x:f>SUMIFS('Sales_Detail'!$J$2:$J$289,'Sales_Detail'!$C$2:$C$289,A29,'Sales_Detail'!$D$2:$D$289,B29,'Sales_Detail'!$A$2:$A$289,"&gt;="&amp;'Cost_Assumptions'!$B$6,'Sales_Detail'!$A$2:$A$289,"&lt;="&amp;'Cost_Assumptions'!$B$7)</x:f>
        <x:v>3432</x:v>
      </x:c>
      <x:c r="H29" s="26" t="n">
        <x:f>SUMIFS('Sales_Detail'!$K$2:$K$289,'Sales_Detail'!$C$2:$C$289,A29,'Sales_Detail'!$D$2:$D$289,B29,'Sales_Detail'!$A$2:$A$289,"&gt;="&amp;'Cost_Assumptions'!$B$6,'Sales_Detail'!$A$2:$A$289,"&lt;="&amp;'Cost_Assumptions'!$B$7)</x:f>
        <x:v>309.85909774435675</x:v>
      </x:c>
      <x:c r="I29" s="26" t="n">
        <x:f>IFERROR(INDEX('SKU_Profitability'!$N$2:$N$25,MATCH(B29,'SKU_Profitability'!$A$2:$A$25,0)),0)</x:f>
        <x:v>10.726596008000001</x:v>
      </x:c>
      <x:c r="J29" s="26" t="n">
        <x:f>IFERROR(INDEX('SKU_Profitability'!$O$2:$O$25,MATCH(B29,'SKU_Profitability'!$A$2:$A$25,0)),0)+IFERROR(INDEX('SKU_Profitability'!$P$2:$P$25,MATCH(B29,'SKU_Profitability'!$A$2:$A$25,0)),0)</x:f>
        <x:v>5.866666666666667</x:v>
      </x:c>
      <x:c r="K29" s="26" t="n">
        <x:f>E29-G29-H29-D29*(I29+J29)</x:f>
        <x:v>5507.7691375465765</x:v>
      </x:c>
      <x:c r="L29" s="30" t="n">
        <x:f>IF(E29=0,0,K29/E29)</x:f>
        <x:v>0.3199513753106961</x:v>
      </x:c>
      <x:c r="M29" s="30" t="n">
        <x:f>IFERROR(INDEX('SKU_Profitability'!$AD$2:$AD$25,MATCH(B29,'SKU_Profitability'!$A$2:$A$25,0)),0)</x:f>
        <x:v>0.315</x:v>
      </x:c>
      <x:c r="N29" s="8" t="str">
        <x:f>IF(D29=0,"NO SALES",IF(K29&lt;=0,"IMMEDIATE REVIEW",IF(AND(E29&gt;0,G29/E29&gt;'Cost_Assumptions'!$B$15),"FREIGHT / CUSTOMER REVIEW",IF(L29&lt;M29,"PRICE / COST REVIEW","MONITOR"))))</x:f>
        <x:v>FREIGHT / CUSTOMER REVIEW</x:v>
      </x:c>
    </x:row>
    <x:row r="30">
      <x:c r="A30" s="6" t="str">
        <x:v>Sample Customer F</x:v>
      </x:c>
      <x:c r="B30" s="7" t="str">
        <x:v>FG-010</x:v>
      </x:c>
      <x:c r="C30" s="7" t="str">
        <x:f>IFERROR(INDEX('Product_Master'!$B$2:$B$25,MATCH(B30,'Product_Master'!$A$2:$A$25,0)),"")</x:f>
        <x:v>Guard Blue Product</x:v>
      </x:c>
      <x:c r="D30" s="24" t="n">
        <x:f>SUMIFS('Sales_Detail'!$E$2:$E$289,'Sales_Detail'!$C$2:$C$289,A30,'Sales_Detail'!$D$2:$D$289,B30,'Sales_Detail'!$A$2:$A$289,"&gt;="&amp;'Cost_Assumptions'!$B$6,'Sales_Detail'!$A$2:$A$289,"&lt;="&amp;'Cost_Assumptions'!$B$7)</x:f>
        <x:v>520</x:v>
      </x:c>
      <x:c r="E30" s="26" t="n">
        <x:f>SUMIFS('Sales_Detail'!$I$2:$I$289,'Sales_Detail'!$C$2:$C$289,A30,'Sales_Detail'!$D$2:$D$289,B30,'Sales_Detail'!$A$2:$A$289,"&gt;="&amp;'Cost_Assumptions'!$B$6,'Sales_Detail'!$A$2:$A$289,"&lt;="&amp;'Cost_Assumptions'!$B$7)</x:f>
        <x:v>19267.174961682605</x:v>
      </x:c>
      <x:c r="F30" s="26" t="n">
        <x:f>IF(D30=0,0,E30/D30)</x:f>
        <x:v>37.05225954169732</x:v>
      </x:c>
      <x:c r="G30" s="26" t="n">
        <x:f>SUMIFS('Sales_Detail'!$J$2:$J$289,'Sales_Detail'!$C$2:$C$289,A30,'Sales_Detail'!$D$2:$D$289,B30,'Sales_Detail'!$A$2:$A$289,"&gt;="&amp;'Cost_Assumptions'!$B$6,'Sales_Detail'!$A$2:$A$289,"&lt;="&amp;'Cost_Assumptions'!$B$7)</x:f>
        <x:v>5019.300000000001</x:v>
      </x:c>
      <x:c r="H30" s="26" t="n">
        <x:f>SUMIFS('Sales_Detail'!$K$2:$K$289,'Sales_Detail'!$C$2:$C$289,A30,'Sales_Detail'!$D$2:$D$289,B30,'Sales_Detail'!$A$2:$A$289,"&gt;="&amp;'Cost_Assumptions'!$B$6,'Sales_Detail'!$A$2:$A$289,"&lt;="&amp;'Cost_Assumptions'!$B$7)</x:f>
        <x:v>346.80914931028684</x:v>
      </x:c>
      <x:c r="I30" s="26" t="n">
        <x:f>IFERROR(INDEX('SKU_Profitability'!$N$2:$N$25,MATCH(B30,'SKU_Profitability'!$A$2:$A$25,0)),0)</x:f>
        <x:v>10.726596008000001</x:v>
      </x:c>
      <x:c r="J30" s="26" t="n">
        <x:f>IFERROR(INDEX('SKU_Profitability'!$O$2:$O$25,MATCH(B30,'SKU_Profitability'!$A$2:$A$25,0)),0)+IFERROR(INDEX('SKU_Profitability'!$P$2:$P$25,MATCH(B30,'SKU_Profitability'!$A$2:$A$25,0)),0)</x:f>
        <x:v>5.866666666666667</x:v>
      </x:c>
      <x:c r="K30" s="26" t="n">
        <x:f>E30-G30-H30-D30*(I30+J30)</x:f>
        <x:v>5272.569221545649</x:v>
      </x:c>
      <x:c r="L30" s="30" t="n">
        <x:f>IF(E30=0,0,K30/E30)</x:f>
        <x:v>0.2736555427576392</x:v>
      </x:c>
      <x:c r="M30" s="30" t="n">
        <x:f>IFERROR(INDEX('SKU_Profitability'!$AD$2:$AD$25,MATCH(B30,'SKU_Profitability'!$A$2:$A$25,0)),0)</x:f>
        <x:v>0.315</x:v>
      </x:c>
      <x:c r="N30" s="8" t="str">
        <x:f>IF(D30=0,"NO SALES",IF(K30&lt;=0,"IMMEDIATE REVIEW",IF(AND(E30&gt;0,G30/E30&gt;'Cost_Assumptions'!$B$15),"FREIGHT / CUSTOMER REVIEW",IF(L30&lt;M30,"PRICE / COST REVIEW","MONITOR"))))</x:f>
        <x:v>FREIGHT / CUSTOMER REVIEW</x:v>
      </x:c>
    </x:row>
    <x:row r="31">
      <x:c r="A31" s="6" t="str">
        <x:v>Sample Customer B</x:v>
      </x:c>
      <x:c r="B31" s="7" t="str">
        <x:v>FG-010</x:v>
      </x:c>
      <x:c r="C31" s="7" t="str">
        <x:f>IFERROR(INDEX('Product_Master'!$B$2:$B$25,MATCH(B31,'Product_Master'!$A$2:$A$25,0)),"")</x:f>
        <x:v>Guard Blue Product</x:v>
      </x:c>
      <x:c r="D31" s="24" t="n">
        <x:f>SUMIFS('Sales_Detail'!$E$2:$E$289,'Sales_Detail'!$C$2:$C$289,A31,'Sales_Detail'!$D$2:$D$289,B31,'Sales_Detail'!$A$2:$A$289,"&gt;="&amp;'Cost_Assumptions'!$B$6,'Sales_Detail'!$A$2:$A$289,"&lt;="&amp;'Cost_Assumptions'!$B$7)</x:f>
        <x:v>560</x:v>
      </x:c>
      <x:c r="E31" s="26" t="n">
        <x:f>SUMIFS('Sales_Detail'!$I$2:$I$289,'Sales_Detail'!$C$2:$C$289,A31,'Sales_Detail'!$D$2:$D$289,B31,'Sales_Detail'!$A$2:$A$289,"&gt;="&amp;'Cost_Assumptions'!$B$6,'Sales_Detail'!$A$2:$A$289,"&lt;="&amp;'Cost_Assumptions'!$B$7)</x:f>
        <x:v>21371.743303651016</x:v>
      </x:c>
      <x:c r="F31" s="26" t="n">
        <x:f>IF(D31=0,0,E31/D31)</x:f>
        <x:v>38.16382732794824</x:v>
      </x:c>
      <x:c r="G31" s="26" t="n">
        <x:f>SUMIFS('Sales_Detail'!$J$2:$J$289,'Sales_Detail'!$C$2:$C$289,A31,'Sales_Detail'!$D$2:$D$289,B31,'Sales_Detail'!$A$2:$A$289,"&gt;="&amp;'Cost_Assumptions'!$B$6,'Sales_Detail'!$A$2:$A$289,"&lt;="&amp;'Cost_Assumptions'!$B$7)</x:f>
        <x:v>4004</x:v>
      </x:c>
      <x:c r="H31" s="26" t="n">
        <x:f>SUMIFS('Sales_Detail'!$K$2:$K$289,'Sales_Detail'!$C$2:$C$289,A31,'Sales_Detail'!$D$2:$D$289,B31,'Sales_Detail'!$A$2:$A$289,"&gt;="&amp;'Cost_Assumptions'!$B$6,'Sales_Detail'!$A$2:$A$289,"&lt;="&amp;'Cost_Assumptions'!$B$7)</x:f>
        <x:v>384.6913794657182</x:v>
      </x:c>
      <x:c r="I31" s="26" t="n">
        <x:f>IFERROR(INDEX('SKU_Profitability'!$N$2:$N$25,MATCH(B31,'SKU_Profitability'!$A$2:$A$25,0)),0)</x:f>
        <x:v>10.726596008000001</x:v>
      </x:c>
      <x:c r="J31" s="26" t="n">
        <x:f>IFERROR(INDEX('SKU_Profitability'!$O$2:$O$25,MATCH(B31,'SKU_Profitability'!$A$2:$A$25,0)),0)+IFERROR(INDEX('SKU_Profitability'!$P$2:$P$25,MATCH(B31,'SKU_Profitability'!$A$2:$A$25,0)),0)</x:f>
        <x:v>5.866666666666667</x:v>
      </x:c>
      <x:c r="K31" s="26" t="n">
        <x:f>E31-G31-H31-D31*(I31+J31)</x:f>
        <x:v>7690.8248263719615</x:v>
      </x:c>
      <x:c r="L31" s="30" t="n">
        <x:f>IF(E31=0,0,K31/E31)</x:f>
        <x:v>0.3598594984555195</x:v>
      </x:c>
      <x:c r="M31" s="30" t="n">
        <x:f>IFERROR(INDEX('SKU_Profitability'!$AD$2:$AD$25,MATCH(B31,'SKU_Profitability'!$A$2:$A$25,0)),0)</x:f>
        <x:v>0.315</x:v>
      </x:c>
      <x:c r="N31" s="8" t="str">
        <x:f>IF(D31=0,"NO SALES",IF(K31&lt;=0,"IMMEDIATE REVIEW",IF(AND(E31&gt;0,G31/E31&gt;'Cost_Assumptions'!$B$15),"FREIGHT / CUSTOMER REVIEW",IF(L31&lt;M31,"PRICE / COST REVIEW","MONITOR"))))</x:f>
        <x:v>FREIGHT / CUSTOMER REVIEW</x:v>
      </x:c>
    </x:row>
    <x:row r="32">
      <x:c r="A32" s="6" t="str">
        <x:v>Sample Customer E</x:v>
      </x:c>
      <x:c r="B32" s="7" t="str">
        <x:v>FG-011</x:v>
      </x:c>
      <x:c r="C32" s="7" t="str">
        <x:f>IFERROR(INDEX('Product_Master'!$B$2:$B$25,MATCH(B32,'Product_Master'!$A$2:$A$25,0)),"")</x:f>
        <x:v>Guard Gray Product</x:v>
      </x:c>
      <x:c r="D32" s="24" t="n">
        <x:f>SUMIFS('Sales_Detail'!$E$2:$E$289,'Sales_Detail'!$C$2:$C$289,A32,'Sales_Detail'!$D$2:$D$289,B32,'Sales_Detail'!$A$2:$A$289,"&gt;="&amp;'Cost_Assumptions'!$B$6,'Sales_Detail'!$A$2:$A$289,"&lt;="&amp;'Cost_Assumptions'!$B$7)</x:f>
        <x:v>1670</x:v>
      </x:c>
      <x:c r="E32" s="26" t="n">
        <x:f>SUMIFS('Sales_Detail'!$I$2:$I$289,'Sales_Detail'!$C$2:$C$289,A32,'Sales_Detail'!$D$2:$D$289,B32,'Sales_Detail'!$A$2:$A$289,"&gt;="&amp;'Cost_Assumptions'!$B$6,'Sales_Detail'!$A$2:$A$289,"&lt;="&amp;'Cost_Assumptions'!$B$7)</x:f>
        <x:v>38517.47152837554</x:v>
      </x:c>
      <x:c r="F32" s="26" t="n">
        <x:f>IF(D32=0,0,E32/D32)</x:f>
        <x:v>23.06435420860811</x:v>
      </x:c>
      <x:c r="G32" s="26" t="n">
        <x:f>SUMIFS('Sales_Detail'!$J$2:$J$289,'Sales_Detail'!$C$2:$C$289,A32,'Sales_Detail'!$D$2:$D$289,B32,'Sales_Detail'!$A$2:$A$289,"&gt;="&amp;'Cost_Assumptions'!$B$6,'Sales_Detail'!$A$2:$A$289,"&lt;="&amp;'Cost_Assumptions'!$B$7)</x:f>
        <x:v>4433.85</x:v>
      </x:c>
      <x:c r="H32" s="26" t="n">
        <x:f>SUMIFS('Sales_Detail'!$K$2:$K$289,'Sales_Detail'!$C$2:$C$289,A32,'Sales_Detail'!$D$2:$D$289,B32,'Sales_Detail'!$A$2:$A$289,"&gt;="&amp;'Cost_Assumptions'!$B$6,'Sales_Detail'!$A$2:$A$289,"&lt;="&amp;'Cost_Assumptions'!$B$7)</x:f>
        <x:v>847.3843736242618</x:v>
      </x:c>
      <x:c r="I32" s="26" t="n">
        <x:f>IFERROR(INDEX('SKU_Profitability'!$N$2:$N$25,MATCH(B32,'SKU_Profitability'!$A$2:$A$25,0)),0)</x:f>
        <x:v>9.976583389999998</x:v>
      </x:c>
      <x:c r="J32" s="26" t="n">
        <x:f>IFERROR(INDEX('SKU_Profitability'!$O$2:$O$25,MATCH(B32,'SKU_Profitability'!$A$2:$A$25,0)),0)+IFERROR(INDEX('SKU_Profitability'!$P$2:$P$25,MATCH(B32,'SKU_Profitability'!$A$2:$A$25,0)),0)</x:f>
        <x:v>0.5418452380952381</x:v>
      </x:c>
      <x:c r="K32" s="26" t="n">
        <x:f>E32-G32-H32-D32*(I32+J32)</x:f>
        <x:v>15670.461345832235</x:v>
      </x:c>
      <x:c r="L32" s="30" t="n">
        <x:f>IF(E32=0,0,K32/E32)</x:f>
        <x:v>0.40684034346044545</x:v>
      </x:c>
      <x:c r="M32" s="30" t="n">
        <x:f>IFERROR(INDEX('SKU_Profitability'!$AD$2:$AD$25,MATCH(B32,'SKU_Profitability'!$A$2:$A$25,0)),0)</x:f>
        <x:v>0.32999999999999996</x:v>
      </x:c>
      <x:c r="N32" s="8" t="str">
        <x:f>IF(D32=0,"NO SALES",IF(K32&lt;=0,"IMMEDIATE REVIEW",IF(AND(E32&gt;0,G32/E32&gt;'Cost_Assumptions'!$B$15),"FREIGHT / CUSTOMER REVIEW",IF(L32&lt;M32,"PRICE / COST REVIEW","MONITOR"))))</x:f>
        <x:v>MONITOR</x:v>
      </x:c>
    </x:row>
    <x:row r="33">
      <x:c r="A33" s="6" t="str">
        <x:v>Sample Customer A</x:v>
      </x:c>
      <x:c r="B33" s="7" t="str">
        <x:v>FG-011</x:v>
      </x:c>
      <x:c r="C33" s="7" t="str">
        <x:f>IFERROR(INDEX('Product_Master'!$B$2:$B$25,MATCH(B33,'Product_Master'!$A$2:$A$25,0)),"")</x:f>
        <x:v>Guard Gray Product</x:v>
      </x:c>
      <x:c r="D33" s="24" t="n">
        <x:f>SUMIFS('Sales_Detail'!$E$2:$E$289,'Sales_Detail'!$C$2:$C$289,A33,'Sales_Detail'!$D$2:$D$289,B33,'Sales_Detail'!$A$2:$A$289,"&gt;="&amp;'Cost_Assumptions'!$B$6,'Sales_Detail'!$A$2:$A$289,"&lt;="&amp;'Cost_Assumptions'!$B$7)</x:f>
        <x:v>1790</x:v>
      </x:c>
      <x:c r="E33" s="26" t="n">
        <x:f>SUMIFS('Sales_Detail'!$I$2:$I$289,'Sales_Detail'!$C$2:$C$289,A33,'Sales_Detail'!$D$2:$D$289,B33,'Sales_Detail'!$A$2:$A$289,"&gt;="&amp;'Cost_Assumptions'!$B$6,'Sales_Detail'!$A$2:$A$289,"&lt;="&amp;'Cost_Assumptions'!$B$7)</x:f>
        <x:v>42562.055704544866</x:v>
      </x:c>
      <x:c r="F33" s="26" t="n">
        <x:f>IF(D33=0,0,E33/D33)</x:f>
        <x:v>23.777684751142385</x:v>
      </x:c>
      <x:c r="G33" s="26" t="n">
        <x:f>SUMIFS('Sales_Detail'!$J$2:$J$289,'Sales_Detail'!$C$2:$C$289,A33,'Sales_Detail'!$D$2:$D$289,B33,'Sales_Detail'!$A$2:$A$289,"&gt;="&amp;'Cost_Assumptions'!$B$6,'Sales_Detail'!$A$2:$A$289,"&lt;="&amp;'Cost_Assumptions'!$B$7)</x:f>
        <x:v>4027.5</x:v>
      </x:c>
      <x:c r="H33" s="26" t="n">
        <x:f>SUMIFS('Sales_Detail'!$K$2:$K$289,'Sales_Detail'!$C$2:$C$289,A33,'Sales_Detail'!$D$2:$D$289,B33,'Sales_Detail'!$A$2:$A$289,"&gt;="&amp;'Cost_Assumptions'!$B$6,'Sales_Detail'!$A$2:$A$289,"&lt;="&amp;'Cost_Assumptions'!$B$7)</x:f>
        <x:v>936.365225499987</x:v>
      </x:c>
      <x:c r="I33" s="26" t="n">
        <x:f>IFERROR(INDEX('SKU_Profitability'!$N$2:$N$25,MATCH(B33,'SKU_Profitability'!$A$2:$A$25,0)),0)</x:f>
        <x:v>9.976583389999998</x:v>
      </x:c>
      <x:c r="J33" s="26" t="n">
        <x:f>IFERROR(INDEX('SKU_Profitability'!$O$2:$O$25,MATCH(B33,'SKU_Profitability'!$A$2:$A$25,0)),0)+IFERROR(INDEX('SKU_Profitability'!$P$2:$P$25,MATCH(B33,'SKU_Profitability'!$A$2:$A$25,0)),0)</x:f>
        <x:v>0.5418452380952381</x:v>
      </x:c>
      <x:c r="K33" s="26" t="n">
        <x:f>E33-G33-H33-D33*(I33+J33)</x:f>
        <x:v>18770.2032347544</x:v>
      </x:c>
      <x:c r="L33" s="30" t="n">
        <x:f>IF(E33=0,0,K33/E33)</x:f>
        <x:v>0.44100791007493745</x:v>
      </x:c>
      <x:c r="M33" s="30" t="n">
        <x:f>IFERROR(INDEX('SKU_Profitability'!$AD$2:$AD$25,MATCH(B33,'SKU_Profitability'!$A$2:$A$25,0)),0)</x:f>
        <x:v>0.32999999999999996</x:v>
      </x:c>
      <x:c r="N33" s="8" t="str">
        <x:f>IF(D33=0,"NO SALES",IF(K33&lt;=0,"IMMEDIATE REVIEW",IF(AND(E33&gt;0,G33/E33&gt;'Cost_Assumptions'!$B$15),"FREIGHT / CUSTOMER REVIEW",IF(L33&lt;M33,"PRICE / COST REVIEW","MONITOR"))))</x:f>
        <x:v>MONITOR</x:v>
      </x:c>
    </x:row>
    <x:row r="34">
      <x:c r="A34" s="6" t="str">
        <x:v>Sample Customer C</x:v>
      </x:c>
      <x:c r="B34" s="7" t="str">
        <x:v>FG-011</x:v>
      </x:c>
      <x:c r="C34" s="7" t="str">
        <x:f>IFERROR(INDEX('Product_Master'!$B$2:$B$25,MATCH(B34,'Product_Master'!$A$2:$A$25,0)),"")</x:f>
        <x:v>Guard Gray Product</x:v>
      </x:c>
      <x:c r="D34" s="24" t="n">
        <x:f>SUMIFS('Sales_Detail'!$E$2:$E$289,'Sales_Detail'!$C$2:$C$289,A34,'Sales_Detail'!$D$2:$D$289,B34,'Sales_Detail'!$A$2:$A$289,"&gt;="&amp;'Cost_Assumptions'!$B$6,'Sales_Detail'!$A$2:$A$289,"&lt;="&amp;'Cost_Assumptions'!$B$7)</x:f>
        <x:v>1550</x:v>
      </x:c>
      <x:c r="E34" s="26" t="n">
        <x:f>SUMIFS('Sales_Detail'!$I$2:$I$289,'Sales_Detail'!$C$2:$C$289,A34,'Sales_Detail'!$D$2:$D$289,B34,'Sales_Detail'!$A$2:$A$289,"&gt;="&amp;'Cost_Assumptions'!$B$6,'Sales_Detail'!$A$2:$A$289,"&lt;="&amp;'Cost_Assumptions'!$B$7)</x:f>
        <x:v>37896.940280470575</x:v>
      </x:c>
      <x:c r="F34" s="26" t="n">
        <x:f>IF(D34=0,0,E34/D34)</x:f>
        <x:v>24.44963889062618</x:v>
      </x:c>
      <x:c r="G34" s="26" t="n">
        <x:f>SUMIFS('Sales_Detail'!$J$2:$J$289,'Sales_Detail'!$C$2:$C$289,A34,'Sales_Detail'!$D$2:$D$289,B34,'Sales_Detail'!$A$2:$A$289,"&gt;="&amp;'Cost_Assumptions'!$B$6,'Sales_Detail'!$A$2:$A$289,"&lt;="&amp;'Cost_Assumptions'!$B$7)</x:f>
        <x:v>3487.5</x:v>
      </x:c>
      <x:c r="H34" s="26" t="n">
        <x:f>SUMIFS('Sales_Detail'!$K$2:$K$289,'Sales_Detail'!$C$2:$C$289,A34,'Sales_Detail'!$D$2:$D$289,B34,'Sales_Detail'!$A$2:$A$289,"&gt;="&amp;'Cost_Assumptions'!$B$6,'Sales_Detail'!$A$2:$A$289,"&lt;="&amp;'Cost_Assumptions'!$B$7)</x:f>
        <x:v>833.7326861703526</x:v>
      </x:c>
      <x:c r="I34" s="26" t="n">
        <x:f>IFERROR(INDEX('SKU_Profitability'!$N$2:$N$25,MATCH(B34,'SKU_Profitability'!$A$2:$A$25,0)),0)</x:f>
        <x:v>9.976583389999998</x:v>
      </x:c>
      <x:c r="J34" s="26" t="n">
        <x:f>IFERROR(INDEX('SKU_Profitability'!$O$2:$O$25,MATCH(B34,'SKU_Profitability'!$A$2:$A$25,0)),0)+IFERROR(INDEX('SKU_Profitability'!$P$2:$P$25,MATCH(B34,'SKU_Profitability'!$A$2:$A$25,0)),0)</x:f>
        <x:v>0.5418452380952381</x:v>
      </x:c>
      <x:c r="K34" s="26" t="n">
        <x:f>E34-G34-H34-D34*(I34+J34)</x:f>
        <x:v>17272.1432207526</x:v>
      </x:c>
      <x:c r="L34" s="30" t="n">
        <x:f>IF(E34=0,0,K34/E34)</x:f>
        <x:v>0.4557661672135957</x:v>
      </x:c>
      <x:c r="M34" s="30" t="n">
        <x:f>IFERROR(INDEX('SKU_Profitability'!$AD$2:$AD$25,MATCH(B34,'SKU_Profitability'!$A$2:$A$25,0)),0)</x:f>
        <x:v>0.32999999999999996</x:v>
      </x:c>
      <x:c r="N34" s="8" t="str">
        <x:f>IF(D34=0,"NO SALES",IF(K34&lt;=0,"IMMEDIATE REVIEW",IF(AND(E34&gt;0,G34/E34&gt;'Cost_Assumptions'!$B$15),"FREIGHT / CUSTOMER REVIEW",IF(L34&lt;M34,"PRICE / COST REVIEW","MONITOR"))))</x:f>
        <x:v>MONITOR</x:v>
      </x:c>
    </x:row>
    <x:row r="35">
      <x:c r="A35" s="6" t="str">
        <x:v>Sample Customer F</x:v>
      </x:c>
      <x:c r="B35" s="7" t="str">
        <x:v>FG-012</x:v>
      </x:c>
      <x:c r="C35" s="7" t="str">
        <x:f>IFERROR(INDEX('Product_Master'!$B$2:$B$25,MATCH(B35,'Product_Master'!$A$2:$A$25,0)),"")</x:f>
        <x:v>Guard Red Product</x:v>
      </x:c>
      <x:c r="D35" s="24" t="n">
        <x:f>SUMIFS('Sales_Detail'!$E$2:$E$289,'Sales_Detail'!$C$2:$C$289,A35,'Sales_Detail'!$D$2:$D$289,B35,'Sales_Detail'!$A$2:$A$289,"&gt;="&amp;'Cost_Assumptions'!$B$6,'Sales_Detail'!$A$2:$A$289,"&lt;="&amp;'Cost_Assumptions'!$B$7)</x:f>
        <x:v>1270</x:v>
      </x:c>
      <x:c r="E35" s="26" t="n">
        <x:f>SUMIFS('Sales_Detail'!$I$2:$I$289,'Sales_Detail'!$C$2:$C$289,A35,'Sales_Detail'!$D$2:$D$289,B35,'Sales_Detail'!$A$2:$A$289,"&gt;="&amp;'Cost_Assumptions'!$B$6,'Sales_Detail'!$A$2:$A$289,"&lt;="&amp;'Cost_Assumptions'!$B$7)</x:f>
        <x:v>28026.859074553915</x:v>
      </x:c>
      <x:c r="F35" s="26" t="n">
        <x:f>IF(D35=0,0,E35/D35)</x:f>
        <x:v>22.068392972089697</x:v>
      </x:c>
      <x:c r="G35" s="26" t="n">
        <x:f>SUMIFS('Sales_Detail'!$J$2:$J$289,'Sales_Detail'!$C$2:$C$289,A35,'Sales_Detail'!$D$2:$D$289,B35,'Sales_Detail'!$A$2:$A$289,"&gt;="&amp;'Cost_Assumptions'!$B$6,'Sales_Detail'!$A$2:$A$289,"&lt;="&amp;'Cost_Assumptions'!$B$7)</x:f>
        <x:v>5314.950000000001</x:v>
      </x:c>
      <x:c r="H35" s="26" t="n">
        <x:f>SUMIFS('Sales_Detail'!$K$2:$K$289,'Sales_Detail'!$C$2:$C$289,A35,'Sales_Detail'!$D$2:$D$289,B35,'Sales_Detail'!$A$2:$A$289,"&gt;="&amp;'Cost_Assumptions'!$B$6,'Sales_Detail'!$A$2:$A$289,"&lt;="&amp;'Cost_Assumptions'!$B$7)</x:f>
        <x:v>728.6983359384017</x:v>
      </x:c>
      <x:c r="I35" s="26" t="n">
        <x:f>IFERROR(INDEX('SKU_Profitability'!$N$2:$N$25,MATCH(B35,'SKU_Profitability'!$A$2:$A$25,0)),0)</x:f>
        <x:v>9.6215833045</x:v>
      </x:c>
      <x:c r="J35" s="26" t="n">
        <x:f>IFERROR(INDEX('SKU_Profitability'!$O$2:$O$25,MATCH(B35,'SKU_Profitability'!$A$2:$A$25,0)),0)+IFERROR(INDEX('SKU_Profitability'!$P$2:$P$25,MATCH(B35,'SKU_Profitability'!$A$2:$A$25,0)),0)</x:f>
        <x:v>1.107607142857143</x:v>
      </x:c>
      <x:c r="K35" s="26" t="n">
        <x:f>E35-G35-H35-D35*(I35+J35)</x:f>
        <x:v>8357.138870471941</x:v>
      </x:c>
      <x:c r="L35" s="30" t="n">
        <x:f>IF(E35=0,0,K35/E35)</x:f>
        <x:v>0.2981832123336124</x:v>
      </x:c>
      <x:c r="M35" s="30" t="n">
        <x:f>IFERROR(INDEX('SKU_Profitability'!$AD$2:$AD$25,MATCH(B35,'SKU_Profitability'!$A$2:$A$25,0)),0)</x:f>
        <x:v>0.345</x:v>
      </x:c>
      <x:c r="N35" s="8" t="str">
        <x:f>IF(D35=0,"NO SALES",IF(K35&lt;=0,"IMMEDIATE REVIEW",IF(AND(E35&gt;0,G35/E35&gt;'Cost_Assumptions'!$B$15),"FREIGHT / CUSTOMER REVIEW",IF(L35&lt;M35,"PRICE / COST REVIEW","MONITOR"))))</x:f>
        <x:v>FREIGHT / CUSTOMER REVIEW</x:v>
      </x:c>
    </x:row>
    <x:row r="36">
      <x:c r="A36" s="6" t="str">
        <x:v>Sample Customer B</x:v>
      </x:c>
      <x:c r="B36" s="7" t="str">
        <x:v>FG-012</x:v>
      </x:c>
      <x:c r="C36" s="7" t="str">
        <x:f>IFERROR(INDEX('Product_Master'!$B$2:$B$25,MATCH(B36,'Product_Master'!$A$2:$A$25,0)),"")</x:f>
        <x:v>Guard Red Product</x:v>
      </x:c>
      <x:c r="D36" s="24" t="n">
        <x:f>SUMIFS('Sales_Detail'!$E$2:$E$289,'Sales_Detail'!$C$2:$C$289,A36,'Sales_Detail'!$D$2:$D$289,B36,'Sales_Detail'!$A$2:$A$289,"&gt;="&amp;'Cost_Assumptions'!$B$6,'Sales_Detail'!$A$2:$A$289,"&lt;="&amp;'Cost_Assumptions'!$B$7)</x:f>
        <x:v>1090</x:v>
      </x:c>
      <x:c r="E36" s="26" t="n">
        <x:f>SUMIFS('Sales_Detail'!$I$2:$I$289,'Sales_Detail'!$C$2:$C$289,A36,'Sales_Detail'!$D$2:$D$289,B36,'Sales_Detail'!$A$2:$A$289,"&gt;="&amp;'Cost_Assumptions'!$B$6,'Sales_Detail'!$A$2:$A$289,"&lt;="&amp;'Cost_Assumptions'!$B$7)</x:f>
        <x:v>24744.72377406274</x:v>
      </x:c>
      <x:c r="F36" s="26" t="n">
        <x:f>IF(D36=0,0,E36/D36)</x:f>
        <x:v>22.701581444094256</x:v>
      </x:c>
      <x:c r="G36" s="26" t="n">
        <x:f>SUMIFS('Sales_Detail'!$J$2:$J$289,'Sales_Detail'!$C$2:$C$289,A36,'Sales_Detail'!$D$2:$D$289,B36,'Sales_Detail'!$A$2:$A$289,"&gt;="&amp;'Cost_Assumptions'!$B$6,'Sales_Detail'!$A$2:$A$289,"&lt;="&amp;'Cost_Assumptions'!$B$7)</x:f>
        <x:v>3379</x:v>
      </x:c>
      <x:c r="H36" s="26" t="n">
        <x:f>SUMIFS('Sales_Detail'!$K$2:$K$289,'Sales_Detail'!$C$2:$C$289,A36,'Sales_Detail'!$D$2:$D$289,B36,'Sales_Detail'!$A$2:$A$289,"&gt;="&amp;'Cost_Assumptions'!$B$6,'Sales_Detail'!$A$2:$A$289,"&lt;="&amp;'Cost_Assumptions'!$B$7)</x:f>
        <x:v>643.3628181256311</x:v>
      </x:c>
      <x:c r="I36" s="26" t="n">
        <x:f>IFERROR(INDEX('SKU_Profitability'!$N$2:$N$25,MATCH(B36,'SKU_Profitability'!$A$2:$A$25,0)),0)</x:f>
        <x:v>9.6215833045</x:v>
      </x:c>
      <x:c r="J36" s="26" t="n">
        <x:f>IFERROR(INDEX('SKU_Profitability'!$O$2:$O$25,MATCH(B36,'SKU_Profitability'!$A$2:$A$25,0)),0)+IFERROR(INDEX('SKU_Profitability'!$P$2:$P$25,MATCH(B36,'SKU_Profitability'!$A$2:$A$25,0)),0)</x:f>
        <x:v>1.107607142857143</x:v>
      </x:c>
      <x:c r="K36" s="26" t="n">
        <x:f>E36-G36-H36-D36*(I36+J36)</x:f>
        <x:v>9027.543368317822</x:v>
      </x:c>
      <x:c r="L36" s="30" t="n">
        <x:f>IF(E36=0,0,K36/E36)</x:f>
        <x:v>0.3648270011314669</x:v>
      </x:c>
      <x:c r="M36" s="30" t="n">
        <x:f>IFERROR(INDEX('SKU_Profitability'!$AD$2:$AD$25,MATCH(B36,'SKU_Profitability'!$A$2:$A$25,0)),0)</x:f>
        <x:v>0.345</x:v>
      </x:c>
      <x:c r="N36" s="8" t="str">
        <x:f>IF(D36=0,"NO SALES",IF(K36&lt;=0,"IMMEDIATE REVIEW",IF(AND(E36&gt;0,G36/E36&gt;'Cost_Assumptions'!$B$15),"FREIGHT / CUSTOMER REVIEW",IF(L36&lt;M36,"PRICE / COST REVIEW","MONITOR"))))</x:f>
        <x:v>MONITOR</x:v>
      </x:c>
    </x:row>
    <x:row r="37">
      <x:c r="A37" s="6" t="str">
        <x:v>Sample Customer D</x:v>
      </x:c>
      <x:c r="B37" s="7" t="str">
        <x:v>FG-012</x:v>
      </x:c>
      <x:c r="C37" s="7" t="str">
        <x:f>IFERROR(INDEX('Product_Master'!$B$2:$B$25,MATCH(B37,'Product_Master'!$A$2:$A$25,0)),"")</x:f>
        <x:v>Guard Red Product</x:v>
      </x:c>
      <x:c r="D37" s="24" t="n">
        <x:f>SUMIFS('Sales_Detail'!$E$2:$E$289,'Sales_Detail'!$C$2:$C$289,A37,'Sales_Detail'!$D$2:$D$289,B37,'Sales_Detail'!$A$2:$A$289,"&gt;="&amp;'Cost_Assumptions'!$B$6,'Sales_Detail'!$A$2:$A$289,"&lt;="&amp;'Cost_Assumptions'!$B$7)</x:f>
        <x:v>1180</x:v>
      </x:c>
      <x:c r="E37" s="26" t="n">
        <x:f>SUMIFS('Sales_Detail'!$I$2:$I$289,'Sales_Detail'!$C$2:$C$289,A37,'Sales_Detail'!$D$2:$D$289,B37,'Sales_Detail'!$A$2:$A$289,"&gt;="&amp;'Cost_Assumptions'!$B$6,'Sales_Detail'!$A$2:$A$289,"&lt;="&amp;'Cost_Assumptions'!$B$7)</x:f>
        <x:v>27651.46888482249</x:v>
      </x:c>
      <x:c r="F37" s="26" t="n">
        <x:f>IF(D37=0,0,E37/D37)</x:f>
        <x:v>23.433448207476687</x:v>
      </x:c>
      <x:c r="G37" s="26" t="n">
        <x:f>SUMIFS('Sales_Detail'!$J$2:$J$289,'Sales_Detail'!$C$2:$C$289,A37,'Sales_Detail'!$D$2:$D$289,B37,'Sales_Detail'!$A$2:$A$289,"&gt;="&amp;'Cost_Assumptions'!$B$6,'Sales_Detail'!$A$2:$A$289,"&lt;="&amp;'Cost_Assumptions'!$B$7)</x:f>
        <x:v>3658</x:v>
      </x:c>
      <x:c r="H37" s="26" t="n">
        <x:f>SUMIFS('Sales_Detail'!$K$2:$K$289,'Sales_Detail'!$C$2:$C$289,A37,'Sales_Detail'!$D$2:$D$289,B37,'Sales_Detail'!$A$2:$A$289,"&gt;="&amp;'Cost_Assumptions'!$B$6,'Sales_Detail'!$A$2:$A$289,"&lt;="&amp;'Cost_Assumptions'!$B$7)</x:f>
        <x:v>718.9381910053847</x:v>
      </x:c>
      <x:c r="I37" s="26" t="n">
        <x:f>IFERROR(INDEX('SKU_Profitability'!$N$2:$N$25,MATCH(B37,'SKU_Profitability'!$A$2:$A$25,0)),0)</x:f>
        <x:v>9.6215833045</x:v>
      </x:c>
      <x:c r="J37" s="26" t="n">
        <x:f>IFERROR(INDEX('SKU_Profitability'!$O$2:$O$25,MATCH(B37,'SKU_Profitability'!$A$2:$A$25,0)),0)+IFERROR(INDEX('SKU_Profitability'!$P$2:$P$25,MATCH(B37,'SKU_Profitability'!$A$2:$A$25,0)),0)</x:f>
        <x:v>1.107607142857143</x:v>
      </x:c>
      <x:c r="K37" s="26" t="n">
        <x:f>E37-G37-H37-D37*(I37+J37)</x:f>
        <x:v>10614.085965935677</x:v>
      </x:c>
      <x:c r="L37" s="30" t="n">
        <x:f>IF(E37=0,0,K37/E37)</x:f>
        <x:v>0.3838525182928565</x:v>
      </x:c>
      <x:c r="M37" s="30" t="n">
        <x:f>IFERROR(INDEX('SKU_Profitability'!$AD$2:$AD$25,MATCH(B37,'SKU_Profitability'!$A$2:$A$25,0)),0)</x:f>
        <x:v>0.345</x:v>
      </x:c>
      <x:c r="N37" s="8" t="str">
        <x:f>IF(D37=0,"NO SALES",IF(K37&lt;=0,"IMMEDIATE REVIEW",IF(AND(E37&gt;0,G37/E37&gt;'Cost_Assumptions'!$B$15),"FREIGHT / CUSTOMER REVIEW",IF(L37&lt;M37,"PRICE / COST REVIEW","MONITOR"))))</x:f>
        <x:v>MONITOR</x:v>
      </x:c>
    </x:row>
    <x:row r="38">
      <x:c r="A38" s="6" t="str">
        <x:v>Sample Customer A</x:v>
      </x:c>
      <x:c r="B38" s="7" t="str">
        <x:v>FG-013</x:v>
      </x:c>
      <x:c r="C38" s="7" t="str">
        <x:f>IFERROR(INDEX('Product_Master'!$B$2:$B$25,MATCH(B38,'Product_Master'!$A$2:$A$25,0)),"")</x:f>
        <x:v>Prime White Product</x:v>
      </x:c>
      <x:c r="D38" s="24" t="n">
        <x:f>SUMIFS('Sales_Detail'!$E$2:$E$289,'Sales_Detail'!$C$2:$C$289,A38,'Sales_Detail'!$D$2:$D$289,B38,'Sales_Detail'!$A$2:$A$289,"&gt;="&amp;'Cost_Assumptions'!$B$6,'Sales_Detail'!$A$2:$A$289,"&lt;="&amp;'Cost_Assumptions'!$B$7)</x:f>
        <x:v>320</x:v>
      </x:c>
      <x:c r="E38" s="26" t="n">
        <x:f>SUMIFS('Sales_Detail'!$I$2:$I$289,'Sales_Detail'!$C$2:$C$289,A38,'Sales_Detail'!$D$2:$D$289,B38,'Sales_Detail'!$A$2:$A$289,"&gt;="&amp;'Cost_Assumptions'!$B$6,'Sales_Detail'!$A$2:$A$289,"&lt;="&amp;'Cost_Assumptions'!$B$7)</x:f>
        <x:v>9316.223943377096</x:v>
      </x:c>
      <x:c r="F38" s="26" t="n">
        <x:f>IF(D38=0,0,E38/D38)</x:f>
        <x:v>29.113199823053424</x:v>
      </x:c>
      <x:c r="G38" s="26" t="n">
        <x:f>SUMIFS('Sales_Detail'!$J$2:$J$289,'Sales_Detail'!$C$2:$C$289,A38,'Sales_Detail'!$D$2:$D$289,B38,'Sales_Detail'!$A$2:$A$289,"&gt;="&amp;'Cost_Assumptions'!$B$6,'Sales_Detail'!$A$2:$A$289,"&lt;="&amp;'Cost_Assumptions'!$B$7)</x:f>
        <x:v>1264</x:v>
      </x:c>
      <x:c r="H38" s="26" t="n">
        <x:f>SUMIFS('Sales_Detail'!$K$2:$K$289,'Sales_Detail'!$C$2:$C$289,A38,'Sales_Detail'!$D$2:$D$289,B38,'Sales_Detail'!$A$2:$A$289,"&gt;="&amp;'Cost_Assumptions'!$B$6,'Sales_Detail'!$A$2:$A$289,"&lt;="&amp;'Cost_Assumptions'!$B$7)</x:f>
        <x:v>167.69203098078768</x:v>
      </x:c>
      <x:c r="I38" s="26" t="n">
        <x:f>IFERROR(INDEX('SKU_Profitability'!$N$2:$N$25,MATCH(B38,'SKU_Profitability'!$A$2:$A$25,0)),0)</x:f>
        <x:v>8.672373615200001</x:v>
      </x:c>
      <x:c r="J38" s="26" t="n">
        <x:f>IFERROR(INDEX('SKU_Profitability'!$O$2:$O$25,MATCH(B38,'SKU_Profitability'!$A$2:$A$25,0)),0)+IFERROR(INDEX('SKU_Profitability'!$P$2:$P$25,MATCH(B38,'SKU_Profitability'!$A$2:$A$25,0)),0)</x:f>
        <x:v>6.035555555555556</x:v>
      </x:c>
      <x:c r="K38" s="26" t="n">
        <x:f>E38-G38-H38-D38*(I38+J38)</x:f>
        <x:v>3177.99457775453</x:v>
      </x:c>
      <x:c r="L38" s="30" t="n">
        <x:f>IF(E38=0,0,K38/E38)</x:f>
        <x:v>0.34112475151628</x:v>
      </x:c>
      <x:c r="M38" s="30" t="n">
        <x:f>IFERROR(INDEX('SKU_Profitability'!$AD$2:$AD$25,MATCH(B38,'SKU_Profitability'!$A$2:$A$25,0)),0)</x:f>
        <x:v>0.3</x:v>
      </x:c>
      <x:c r="N38" s="8" t="str">
        <x:f>IF(D38=0,"NO SALES",IF(K38&lt;=0,"IMMEDIATE REVIEW",IF(AND(E38&gt;0,G38/E38&gt;'Cost_Assumptions'!$B$15),"FREIGHT / CUSTOMER REVIEW",IF(L38&lt;M38,"PRICE / COST REVIEW","MONITOR"))))</x:f>
        <x:v>MONITOR</x:v>
      </x:c>
    </x:row>
    <x:row r="39">
      <x:c r="A39" s="6" t="str">
        <x:v>Sample Customer C</x:v>
      </x:c>
      <x:c r="B39" s="7" t="str">
        <x:v>FG-013</x:v>
      </x:c>
      <x:c r="C39" s="7" t="str">
        <x:f>IFERROR(INDEX('Product_Master'!$B$2:$B$25,MATCH(B39,'Product_Master'!$A$2:$A$25,0)),"")</x:f>
        <x:v>Prime White Product</x:v>
      </x:c>
      <x:c r="D39" s="24" t="n">
        <x:f>SUMIFS('Sales_Detail'!$E$2:$E$289,'Sales_Detail'!$C$2:$C$289,A39,'Sales_Detail'!$D$2:$D$289,B39,'Sales_Detail'!$A$2:$A$289,"&gt;="&amp;'Cost_Assumptions'!$B$6,'Sales_Detail'!$A$2:$A$289,"&lt;="&amp;'Cost_Assumptions'!$B$7)</x:f>
        <x:v>340</x:v>
      </x:c>
      <x:c r="E39" s="26" t="n">
        <x:f>SUMIFS('Sales_Detail'!$I$2:$I$289,'Sales_Detail'!$C$2:$C$289,A39,'Sales_Detail'!$D$2:$D$289,B39,'Sales_Detail'!$A$2:$A$289,"&gt;="&amp;'Cost_Assumptions'!$B$6,'Sales_Detail'!$A$2:$A$289,"&lt;="&amp;'Cost_Assumptions'!$B$7)</x:f>
        <x:v>10256.057949678778</x:v>
      </x:c>
      <x:c r="F39" s="26" t="n">
        <x:f>IF(D39=0,0,E39/D39)</x:f>
        <x:v>30.16487632258464</x:v>
      </x:c>
      <x:c r="G39" s="26" t="n">
        <x:f>SUMIFS('Sales_Detail'!$J$2:$J$289,'Sales_Detail'!$C$2:$C$289,A39,'Sales_Detail'!$D$2:$D$289,B39,'Sales_Detail'!$A$2:$A$289,"&gt;="&amp;'Cost_Assumptions'!$B$6,'Sales_Detail'!$A$2:$A$289,"&lt;="&amp;'Cost_Assumptions'!$B$7)</x:f>
        <x:v>1343</x:v>
      </x:c>
      <x:c r="H39" s="26" t="n">
        <x:f>SUMIFS('Sales_Detail'!$K$2:$K$289,'Sales_Detail'!$C$2:$C$289,A39,'Sales_Detail'!$D$2:$D$289,B39,'Sales_Detail'!$A$2:$A$289,"&gt;="&amp;'Cost_Assumptions'!$B$6,'Sales_Detail'!$A$2:$A$289,"&lt;="&amp;'Cost_Assumptions'!$B$7)</x:f>
        <x:v>184.609043094218</x:v>
      </x:c>
      <x:c r="I39" s="26" t="n">
        <x:f>IFERROR(INDEX('SKU_Profitability'!$N$2:$N$25,MATCH(B39,'SKU_Profitability'!$A$2:$A$25,0)),0)</x:f>
        <x:v>8.672373615200001</x:v>
      </x:c>
      <x:c r="J39" s="26" t="n">
        <x:f>IFERROR(INDEX('SKU_Profitability'!$O$2:$O$25,MATCH(B39,'SKU_Profitability'!$A$2:$A$25,0)),0)+IFERROR(INDEX('SKU_Profitability'!$P$2:$P$25,MATCH(B39,'SKU_Profitability'!$A$2:$A$25,0)),0)</x:f>
        <x:v>6.035555555555556</x:v>
      </x:c>
      <x:c r="K39" s="26" t="n">
        <x:f>E39-G39-H39-D39*(I39+J39)</x:f>
        <x:v>3727.75298852767</x:v>
      </x:c>
      <x:c r="L39" s="30" t="n">
        <x:f>IF(E39=0,0,K39/E39)</x:f>
        <x:v>0.3634684014869889</x:v>
      </x:c>
      <x:c r="M39" s="30" t="n">
        <x:f>IFERROR(INDEX('SKU_Profitability'!$AD$2:$AD$25,MATCH(B39,'SKU_Profitability'!$A$2:$A$25,0)),0)</x:f>
        <x:v>0.3</x:v>
      </x:c>
      <x:c r="N39" s="8" t="str">
        <x:f>IF(D39=0,"NO SALES",IF(K39&lt;=0,"IMMEDIATE REVIEW",IF(AND(E39&gt;0,G39/E39&gt;'Cost_Assumptions'!$B$15),"FREIGHT / CUSTOMER REVIEW",IF(L39&lt;M39,"PRICE / COST REVIEW","MONITOR"))))</x:f>
        <x:v>MONITOR</x:v>
      </x:c>
    </x:row>
    <x:row r="40">
      <x:c r="A40" s="6" t="str">
        <x:v>Sample Customer E</x:v>
      </x:c>
      <x:c r="B40" s="7" t="str">
        <x:v>FG-013</x:v>
      </x:c>
      <x:c r="C40" s="7" t="str">
        <x:f>IFERROR(INDEX('Product_Master'!$B$2:$B$25,MATCH(B40,'Product_Master'!$A$2:$A$25,0)),"")</x:f>
        <x:v>Prime White Product</x:v>
      </x:c>
      <x:c r="D40" s="24" t="n">
        <x:f>SUMIFS('Sales_Detail'!$E$2:$E$289,'Sales_Detail'!$C$2:$C$289,A40,'Sales_Detail'!$D$2:$D$289,B40,'Sales_Detail'!$A$2:$A$289,"&gt;="&amp;'Cost_Assumptions'!$B$6,'Sales_Detail'!$A$2:$A$289,"&lt;="&amp;'Cost_Assumptions'!$B$7)</x:f>
        <x:v>360</x:v>
      </x:c>
      <x:c r="E40" s="26" t="n">
        <x:f>SUMIFS('Sales_Detail'!$I$2:$I$289,'Sales_Detail'!$C$2:$C$289,A40,'Sales_Detail'!$D$2:$D$289,B40,'Sales_Detail'!$A$2:$A$289,"&gt;="&amp;'Cost_Assumptions'!$B$6,'Sales_Detail'!$A$2:$A$289,"&lt;="&amp;'Cost_Assumptions'!$B$7)</x:f>
        <x:v>11185.136140414386</x:v>
      </x:c>
      <x:c r="F40" s="26" t="n">
        <x:f>IF(D40=0,0,E40/D40)</x:f>
        <x:v>31.069822612262183</x:v>
      </x:c>
      <x:c r="G40" s="26" t="n">
        <x:f>SUMIFS('Sales_Detail'!$J$2:$J$289,'Sales_Detail'!$C$2:$C$289,A40,'Sales_Detail'!$D$2:$D$289,B40,'Sales_Detail'!$A$2:$A$289,"&gt;="&amp;'Cost_Assumptions'!$B$6,'Sales_Detail'!$A$2:$A$289,"&lt;="&amp;'Cost_Assumptions'!$B$7)</x:f>
        <x:v>1677.96</x:v>
      </x:c>
      <x:c r="H40" s="26" t="n">
        <x:f>SUMIFS('Sales_Detail'!$K$2:$K$289,'Sales_Detail'!$C$2:$C$289,A40,'Sales_Detail'!$D$2:$D$289,B40,'Sales_Detail'!$A$2:$A$289,"&gt;="&amp;'Cost_Assumptions'!$B$6,'Sales_Detail'!$A$2:$A$289,"&lt;="&amp;'Cost_Assumptions'!$B$7)</x:f>
        <x:v>201.33245052745892</x:v>
      </x:c>
      <x:c r="I40" s="26" t="n">
        <x:f>IFERROR(INDEX('SKU_Profitability'!$N$2:$N$25,MATCH(B40,'SKU_Profitability'!$A$2:$A$25,0)),0)</x:f>
        <x:v>8.672373615200001</x:v>
      </x:c>
      <x:c r="J40" s="26" t="n">
        <x:f>IFERROR(INDEX('SKU_Profitability'!$O$2:$O$25,MATCH(B40,'SKU_Profitability'!$A$2:$A$25,0)),0)+IFERROR(INDEX('SKU_Profitability'!$P$2:$P$25,MATCH(B40,'SKU_Profitability'!$A$2:$A$25,0)),0)</x:f>
        <x:v>6.035555555555556</x:v>
      </x:c>
      <x:c r="K40" s="26" t="n">
        <x:f>E40-G40-H40-D40*(I40+J40)</x:f>
        <x:v>4010.9891884149274</x:v>
      </x:c>
      <x:c r="L40" s="30" t="n">
        <x:f>IF(E40=0,0,K40/E40)</x:f>
        <x:v>0.3585999435377752</x:v>
      </x:c>
      <x:c r="M40" s="30" t="n">
        <x:f>IFERROR(INDEX('SKU_Profitability'!$AD$2:$AD$25,MATCH(B40,'SKU_Profitability'!$A$2:$A$25,0)),0)</x:f>
        <x:v>0.3</x:v>
      </x:c>
      <x:c r="N40" s="8" t="str">
        <x:f>IF(D40=0,"NO SALES",IF(K40&lt;=0,"IMMEDIATE REVIEW",IF(AND(E40&gt;0,G40/E40&gt;'Cost_Assumptions'!$B$15),"FREIGHT / CUSTOMER REVIEW",IF(L40&lt;M40,"PRICE / COST REVIEW","MONITOR"))))</x:f>
        <x:v>FREIGHT / CUSTOMER REVIEW</x:v>
      </x:c>
    </x:row>
    <x:row r="41">
      <x:c r="A41" s="6" t="str">
        <x:v>Sample Customer B</x:v>
      </x:c>
      <x:c r="B41" s="7" t="str">
        <x:v>FG-014</x:v>
      </x:c>
      <x:c r="C41" s="7" t="str">
        <x:f>IFERROR(INDEX('Product_Master'!$B$2:$B$25,MATCH(B41,'Product_Master'!$A$2:$A$25,0)),"")</x:f>
        <x:v>Prime Black Product</x:v>
      </x:c>
      <x:c r="D41" s="24" t="n">
        <x:f>SUMIFS('Sales_Detail'!$E$2:$E$289,'Sales_Detail'!$C$2:$C$289,A41,'Sales_Detail'!$D$2:$D$289,B41,'Sales_Detail'!$A$2:$A$289,"&gt;="&amp;'Cost_Assumptions'!$B$6,'Sales_Detail'!$A$2:$A$289,"&lt;="&amp;'Cost_Assumptions'!$B$7)</x:f>
        <x:v>1150</x:v>
      </x:c>
      <x:c r="E41" s="26" t="n">
        <x:f>SUMIFS('Sales_Detail'!$I$2:$I$289,'Sales_Detail'!$C$2:$C$289,A41,'Sales_Detail'!$D$2:$D$289,B41,'Sales_Detail'!$A$2:$A$289,"&gt;="&amp;'Cost_Assumptions'!$B$6,'Sales_Detail'!$A$2:$A$289,"&lt;="&amp;'Cost_Assumptions'!$B$7)</x:f>
        <x:v>21526.028957055885</x:v>
      </x:c>
      <x:c r="F41" s="26" t="n">
        <x:f>IF(D41=0,0,E41/D41)</x:f>
        <x:v>18.718286049613813</x:v>
      </x:c>
      <x:c r="G41" s="26" t="n">
        <x:f>SUMIFS('Sales_Detail'!$J$2:$J$289,'Sales_Detail'!$C$2:$C$289,A41,'Sales_Detail'!$D$2:$D$289,B41,'Sales_Detail'!$A$2:$A$289,"&gt;="&amp;'Cost_Assumptions'!$B$6,'Sales_Detail'!$A$2:$A$289,"&lt;="&amp;'Cost_Assumptions'!$B$7)</x:f>
        <x:v>5520</x:v>
      </x:c>
      <x:c r="H41" s="26" t="n">
        <x:f>SUMIFS('Sales_Detail'!$K$2:$K$289,'Sales_Detail'!$C$2:$C$289,A41,'Sales_Detail'!$D$2:$D$289,B41,'Sales_Detail'!$A$2:$A$289,"&gt;="&amp;'Cost_Assumptions'!$B$6,'Sales_Detail'!$A$2:$A$289,"&lt;="&amp;'Cost_Assumptions'!$B$7)</x:f>
        <x:v>473.5726370552295</x:v>
      </x:c>
      <x:c r="I41" s="26" t="n">
        <x:f>IFERROR(INDEX('SKU_Profitability'!$N$2:$N$25,MATCH(B41,'SKU_Profitability'!$A$2:$A$25,0)),0)</x:f>
        <x:v>8.900627814000002</x:v>
      </x:c>
      <x:c r="J41" s="26" t="n">
        <x:f>IFERROR(INDEX('SKU_Profitability'!$O$2:$O$25,MATCH(B41,'SKU_Profitability'!$A$2:$A$25,0)),0)+IFERROR(INDEX('SKU_Profitability'!$P$2:$P$25,MATCH(B41,'SKU_Profitability'!$A$2:$A$25,0)),0)</x:f>
        <x:v>1.38095</x:v>
      </x:c>
      <x:c r="K41" s="26" t="n">
        <x:f>E41-G41-H41-D41*(I41+J41)</x:f>
        <x:v>3708.641833900654</x:v>
      </x:c>
      <x:c r="L41" s="30" t="n">
        <x:f>IF(E41=0,0,K41/E41)</x:f>
        <x:v>0.17228639064359436</x:v>
      </x:c>
      <x:c r="M41" s="30" t="n">
        <x:f>IFERROR(INDEX('SKU_Profitability'!$AD$2:$AD$25,MATCH(B41,'SKU_Profitability'!$A$2:$A$25,0)),0)</x:f>
        <x:v>0.315</x:v>
      </x:c>
      <x:c r="N41" s="8" t="str">
        <x:f>IF(D41=0,"NO SALES",IF(K41&lt;=0,"IMMEDIATE REVIEW",IF(AND(E41&gt;0,G41/E41&gt;'Cost_Assumptions'!$B$15),"FREIGHT / CUSTOMER REVIEW",IF(L41&lt;M41,"PRICE / COST REVIEW","MONITOR"))))</x:f>
        <x:v>FREIGHT / CUSTOMER REVIEW</x:v>
      </x:c>
    </x:row>
    <x:row r="42">
      <x:c r="A42" s="6" t="str">
        <x:v>Sample Customer D</x:v>
      </x:c>
      <x:c r="B42" s="7" t="str">
        <x:v>FG-014</x:v>
      </x:c>
      <x:c r="C42" s="7" t="str">
        <x:f>IFERROR(INDEX('Product_Master'!$B$2:$B$25,MATCH(B42,'Product_Master'!$A$2:$A$25,0)),"")</x:f>
        <x:v>Prime Black Product</x:v>
      </x:c>
      <x:c r="D42" s="24" t="n">
        <x:f>SUMIFS('Sales_Detail'!$E$2:$E$289,'Sales_Detail'!$C$2:$C$289,A42,'Sales_Detail'!$D$2:$D$289,B42,'Sales_Detail'!$A$2:$A$289,"&gt;="&amp;'Cost_Assumptions'!$B$6,'Sales_Detail'!$A$2:$A$289,"&lt;="&amp;'Cost_Assumptions'!$B$7)</x:f>
        <x:v>1230</x:v>
      </x:c>
      <x:c r="E42" s="26" t="n">
        <x:f>SUMIFS('Sales_Detail'!$I$2:$I$289,'Sales_Detail'!$C$2:$C$289,A42,'Sales_Detail'!$D$2:$D$289,B42,'Sales_Detail'!$A$2:$A$289,"&gt;="&amp;'Cost_Assumptions'!$B$6,'Sales_Detail'!$A$2:$A$289,"&lt;="&amp;'Cost_Assumptions'!$B$7)</x:f>
        <x:v>23735.558598994838</x:v>
      </x:c>
      <x:c r="F42" s="26" t="n">
        <x:f>IF(D42=0,0,E42/D42)</x:f>
        <x:v>19.297202113003934</x:v>
      </x:c>
      <x:c r="G42" s="26" t="n">
        <x:f>SUMIFS('Sales_Detail'!$J$2:$J$289,'Sales_Detail'!$C$2:$C$289,A42,'Sales_Detail'!$D$2:$D$289,B42,'Sales_Detail'!$A$2:$A$289,"&gt;="&amp;'Cost_Assumptions'!$B$6,'Sales_Detail'!$A$2:$A$289,"&lt;="&amp;'Cost_Assumptions'!$B$7)</x:f>
        <x:v>5904</x:v>
      </x:c>
      <x:c r="H42" s="26" t="n">
        <x:f>SUMIFS('Sales_Detail'!$K$2:$K$289,'Sales_Detail'!$C$2:$C$289,A42,'Sales_Detail'!$D$2:$D$289,B42,'Sales_Detail'!$A$2:$A$289,"&gt;="&amp;'Cost_Assumptions'!$B$6,'Sales_Detail'!$A$2:$A$289,"&lt;="&amp;'Cost_Assumptions'!$B$7)</x:f>
        <x:v>522.1822891778863</x:v>
      </x:c>
      <x:c r="I42" s="26" t="n">
        <x:f>IFERROR(INDEX('SKU_Profitability'!$N$2:$N$25,MATCH(B42,'SKU_Profitability'!$A$2:$A$25,0)),0)</x:f>
        <x:v>8.900627814000002</x:v>
      </x:c>
      <x:c r="J42" s="26" t="n">
        <x:f>IFERROR(INDEX('SKU_Profitability'!$O$2:$O$25,MATCH(B42,'SKU_Profitability'!$A$2:$A$25,0)),0)+IFERROR(INDEX('SKU_Profitability'!$P$2:$P$25,MATCH(B42,'SKU_Profitability'!$A$2:$A$25,0)),0)</x:f>
        <x:v>1.38095</x:v>
      </x:c>
      <x:c r="K42" s="26" t="n">
        <x:f>E42-G42-H42-D42*(I42+J42)</x:f>
        <x:v>4663.035598596949</x:v>
      </x:c>
      <x:c r="L42" s="30" t="n">
        <x:f>IF(E42=0,0,K42/E42)</x:f>
        <x:v>0.19645779892428658</x:v>
      </x:c>
      <x:c r="M42" s="30" t="n">
        <x:f>IFERROR(INDEX('SKU_Profitability'!$AD$2:$AD$25,MATCH(B42,'SKU_Profitability'!$A$2:$A$25,0)),0)</x:f>
        <x:v>0.315</x:v>
      </x:c>
      <x:c r="N42" s="8" t="str">
        <x:f>IF(D42=0,"NO SALES",IF(K42&lt;=0,"IMMEDIATE REVIEW",IF(AND(E42&gt;0,G42/E42&gt;'Cost_Assumptions'!$B$15),"FREIGHT / CUSTOMER REVIEW",IF(L42&lt;M42,"PRICE / COST REVIEW","MONITOR"))))</x:f>
        <x:v>FREIGHT / CUSTOMER REVIEW</x:v>
      </x:c>
    </x:row>
    <x:row r="43">
      <x:c r="A43" s="6" t="str">
        <x:v>Sample Customer F</x:v>
      </x:c>
      <x:c r="B43" s="7" t="str">
        <x:v>FG-014</x:v>
      </x:c>
      <x:c r="C43" s="7" t="str">
        <x:f>IFERROR(INDEX('Product_Master'!$B$2:$B$25,MATCH(B43,'Product_Master'!$A$2:$A$25,0)),"")</x:f>
        <x:v>Prime Black Product</x:v>
      </x:c>
      <x:c r="D43" s="24" t="n">
        <x:f>SUMIFS('Sales_Detail'!$E$2:$E$289,'Sales_Detail'!$C$2:$C$289,A43,'Sales_Detail'!$D$2:$D$289,B43,'Sales_Detail'!$A$2:$A$289,"&gt;="&amp;'Cost_Assumptions'!$B$6,'Sales_Detail'!$A$2:$A$289,"&lt;="&amp;'Cost_Assumptions'!$B$7)</x:f>
        <x:v>1060</x:v>
      </x:c>
      <x:c r="E43" s="26" t="n">
        <x:f>SUMIFS('Sales_Detail'!$I$2:$I$289,'Sales_Detail'!$C$2:$C$289,A43,'Sales_Detail'!$D$2:$D$289,B43,'Sales_Detail'!$A$2:$A$289,"&gt;="&amp;'Cost_Assumptions'!$B$6,'Sales_Detail'!$A$2:$A$289,"&lt;="&amp;'Cost_Assumptions'!$B$7)</x:f>
        <x:v>21023.805699353503</x:v>
      </x:c>
      <x:c r="F43" s="26" t="n">
        <x:f>IF(D43=0,0,E43/D43)</x:f>
        <x:v>19.833778961654247</x:v>
      </x:c>
      <x:c r="G43" s="26" t="n">
        <x:f>SUMIFS('Sales_Detail'!$J$2:$J$289,'Sales_Detail'!$C$2:$C$289,A43,'Sales_Detail'!$D$2:$D$289,B43,'Sales_Detail'!$A$2:$A$289,"&gt;="&amp;'Cost_Assumptions'!$B$6,'Sales_Detail'!$A$2:$A$289,"&lt;="&amp;'Cost_Assumptions'!$B$7)</x:f>
        <x:v>6868.800000000001</x:v>
      </x:c>
      <x:c r="H43" s="26" t="n">
        <x:f>SUMIFS('Sales_Detail'!$K$2:$K$289,'Sales_Detail'!$C$2:$C$289,A43,'Sales_Detail'!$D$2:$D$289,B43,'Sales_Detail'!$A$2:$A$289,"&gt;="&amp;'Cost_Assumptions'!$B$6,'Sales_Detail'!$A$2:$A$289,"&lt;="&amp;'Cost_Assumptions'!$B$7)</x:f>
        <x:v>462.5237253857771</x:v>
      </x:c>
      <x:c r="I43" s="26" t="n">
        <x:f>IFERROR(INDEX('SKU_Profitability'!$N$2:$N$25,MATCH(B43,'SKU_Profitability'!$A$2:$A$25,0)),0)</x:f>
        <x:v>8.900627814000002</x:v>
      </x:c>
      <x:c r="J43" s="26" t="n">
        <x:f>IFERROR(INDEX('SKU_Profitability'!$O$2:$O$25,MATCH(B43,'SKU_Profitability'!$A$2:$A$25,0)),0)+IFERROR(INDEX('SKU_Profitability'!$P$2:$P$25,MATCH(B43,'SKU_Profitability'!$A$2:$A$25,0)),0)</x:f>
        <x:v>1.38095</x:v>
      </x:c>
      <x:c r="K43" s="26" t="n">
        <x:f>E43-G43-H43-D43*(I43+J43)</x:f>
        <x:v>2794.009491127721</x:v>
      </x:c>
      <x:c r="L43" s="30" t="n">
        <x:f>IF(E43=0,0,K43/E43)</x:f>
        <x:v>0.13289741786443732</x:v>
      </x:c>
      <x:c r="M43" s="30" t="n">
        <x:f>IFERROR(INDEX('SKU_Profitability'!$AD$2:$AD$25,MATCH(B43,'SKU_Profitability'!$A$2:$A$25,0)),0)</x:f>
        <x:v>0.315</x:v>
      </x:c>
      <x:c r="N43" s="8" t="str">
        <x:f>IF(D43=0,"NO SALES",IF(K43&lt;=0,"IMMEDIATE REVIEW",IF(AND(E43&gt;0,G43/E43&gt;'Cost_Assumptions'!$B$15),"FREIGHT / CUSTOMER REVIEW",IF(L43&lt;M43,"PRICE / COST REVIEW","MONITOR"))))</x:f>
        <x:v>FREIGHT / CUSTOMER REVIEW</x:v>
      </x:c>
    </x:row>
    <x:row r="44">
      <x:c r="A44" s="6" t="str">
        <x:v>Sample Customer C</x:v>
      </x:c>
      <x:c r="B44" s="7" t="str">
        <x:v>FG-015</x:v>
      </x:c>
      <x:c r="C44" s="7" t="str">
        <x:f>IFERROR(INDEX('Product_Master'!$B$2:$B$25,MATCH(B44,'Product_Master'!$A$2:$A$25,0)),"")</x:f>
        <x:v>Prime Tan Product</x:v>
      </x:c>
      <x:c r="D44" s="24" t="n">
        <x:f>SUMIFS('Sales_Detail'!$E$2:$E$289,'Sales_Detail'!$C$2:$C$289,A44,'Sales_Detail'!$D$2:$D$289,B44,'Sales_Detail'!$A$2:$A$289,"&gt;="&amp;'Cost_Assumptions'!$B$6,'Sales_Detail'!$A$2:$A$289,"&lt;="&amp;'Cost_Assumptions'!$B$7)</x:f>
        <x:v>630</x:v>
      </x:c>
      <x:c r="E44" s="26" t="n">
        <x:f>SUMIFS('Sales_Detail'!$I$2:$I$289,'Sales_Detail'!$C$2:$C$289,A44,'Sales_Detail'!$D$2:$D$289,B44,'Sales_Detail'!$A$2:$A$289,"&gt;="&amp;'Cost_Assumptions'!$B$6,'Sales_Detail'!$A$2:$A$289,"&lt;="&amp;'Cost_Assumptions'!$B$7)</x:f>
        <x:v>13968.43509035547</x:v>
      </x:c>
      <x:c r="F44" s="26" t="n">
        <x:f>IF(D44=0,0,E44/D44)</x:f>
        <x:v>22.172119191040427</x:v>
      </x:c>
      <x:c r="G44" s="26" t="n">
        <x:f>SUMIFS('Sales_Detail'!$J$2:$J$289,'Sales_Detail'!$C$2:$C$289,A44,'Sales_Detail'!$D$2:$D$289,B44,'Sales_Detail'!$A$2:$A$289,"&gt;="&amp;'Cost_Assumptions'!$B$6,'Sales_Detail'!$A$2:$A$289,"&lt;="&amp;'Cost_Assumptions'!$B$7)</x:f>
        <x:v>3559.5</x:v>
      </x:c>
      <x:c r="H44" s="26" t="n">
        <x:f>SUMIFS('Sales_Detail'!$K$2:$K$289,'Sales_Detail'!$C$2:$C$289,A44,'Sales_Detail'!$D$2:$D$289,B44,'Sales_Detail'!$A$2:$A$289,"&gt;="&amp;'Cost_Assumptions'!$B$6,'Sales_Detail'!$A$2:$A$289,"&lt;="&amp;'Cost_Assumptions'!$B$7)</x:f>
        <x:v>363.1793123492422</x:v>
      </x:c>
      <x:c r="I44" s="26" t="n">
        <x:f>IFERROR(INDEX('SKU_Profitability'!$N$2:$N$25,MATCH(B44,'SKU_Profitability'!$A$2:$A$25,0)),0)</x:f>
        <x:v>9.969397729599999</x:v>
      </x:c>
      <x:c r="J44" s="26" t="n">
        <x:f>IFERROR(INDEX('SKU_Profitability'!$O$2:$O$25,MATCH(B44,'SKU_Profitability'!$A$2:$A$25,0)),0)+IFERROR(INDEX('SKU_Profitability'!$P$2:$P$25,MATCH(B44,'SKU_Profitability'!$A$2:$A$25,0)),0)</x:f>
        <x:v>1.354986111111111</x:v>
      </x:c>
      <x:c r="K44" s="26" t="n">
        <x:f>E44-G44-H44-D44*(I44+J44)</x:f>
        <x:v>2911.393958358228</x:v>
      </x:c>
      <x:c r="L44" s="30" t="n">
        <x:f>IF(E44=0,0,K44/E44)</x:f>
        <x:v>0.2084266375958181</x:v>
      </x:c>
      <x:c r="M44" s="30" t="n">
        <x:f>IFERROR(INDEX('SKU_Profitability'!$AD$2:$AD$25,MATCH(B44,'SKU_Profitability'!$A$2:$A$25,0)),0)</x:f>
        <x:v>0.32999999999999996</x:v>
      </x:c>
      <x:c r="N44" s="8" t="str">
        <x:f>IF(D44=0,"NO SALES",IF(K44&lt;=0,"IMMEDIATE REVIEW",IF(AND(E44&gt;0,G44/E44&gt;'Cost_Assumptions'!$B$15),"FREIGHT / CUSTOMER REVIEW",IF(L44&lt;M44,"PRICE / COST REVIEW","MONITOR"))))</x:f>
        <x:v>FREIGHT / CUSTOMER REVIEW</x:v>
      </x:c>
    </x:row>
    <x:row r="45">
      <x:c r="A45" s="6" t="str">
        <x:v>Sample Customer E</x:v>
      </x:c>
      <x:c r="B45" s="7" t="str">
        <x:v>FG-015</x:v>
      </x:c>
      <x:c r="C45" s="7" t="str">
        <x:f>IFERROR(INDEX('Product_Master'!$B$2:$B$25,MATCH(B45,'Product_Master'!$A$2:$A$25,0)),"")</x:f>
        <x:v>Prime Tan Product</x:v>
      </x:c>
      <x:c r="D45" s="24" t="n">
        <x:f>SUMIFS('Sales_Detail'!$E$2:$E$289,'Sales_Detail'!$C$2:$C$289,A45,'Sales_Detail'!$D$2:$D$289,B45,'Sales_Detail'!$A$2:$A$289,"&gt;="&amp;'Cost_Assumptions'!$B$6,'Sales_Detail'!$A$2:$A$289,"&lt;="&amp;'Cost_Assumptions'!$B$7)</x:f>
        <x:v>540</x:v>
      </x:c>
      <x:c r="E45" s="26" t="n">
        <x:f>SUMIFS('Sales_Detail'!$I$2:$I$289,'Sales_Detail'!$C$2:$C$289,A45,'Sales_Detail'!$D$2:$D$289,B45,'Sales_Detail'!$A$2:$A$289,"&gt;="&amp;'Cost_Assumptions'!$B$6,'Sales_Detail'!$A$2:$A$289,"&lt;="&amp;'Cost_Assumptions'!$B$7)</x:f>
        <x:v>12322.115700709293</x:v>
      </x:c>
      <x:c r="F45" s="26" t="n">
        <x:f>IF(D45=0,0,E45/D45)</x:f>
        <x:v>22.818732779091285</x:v>
      </x:c>
      <x:c r="G45" s="26" t="n">
        <x:f>SUMIFS('Sales_Detail'!$J$2:$J$289,'Sales_Detail'!$C$2:$C$289,A45,'Sales_Detail'!$D$2:$D$289,B45,'Sales_Detail'!$A$2:$A$289,"&gt;="&amp;'Cost_Assumptions'!$B$6,'Sales_Detail'!$A$2:$A$289,"&lt;="&amp;'Cost_Assumptions'!$B$7)</x:f>
        <x:v>3600.18</x:v>
      </x:c>
      <x:c r="H45" s="26" t="n">
        <x:f>SUMIFS('Sales_Detail'!$K$2:$K$289,'Sales_Detail'!$C$2:$C$289,A45,'Sales_Detail'!$D$2:$D$289,B45,'Sales_Detail'!$A$2:$A$289,"&gt;="&amp;'Cost_Assumptions'!$B$6,'Sales_Detail'!$A$2:$A$289,"&lt;="&amp;'Cost_Assumptions'!$B$7)</x:f>
        <x:v>320.3750082184416</x:v>
      </x:c>
      <x:c r="I45" s="26" t="n">
        <x:f>IFERROR(INDEX('SKU_Profitability'!$N$2:$N$25,MATCH(B45,'SKU_Profitability'!$A$2:$A$25,0)),0)</x:f>
        <x:v>9.969397729599999</x:v>
      </x:c>
      <x:c r="J45" s="26" t="n">
        <x:f>IFERROR(INDEX('SKU_Profitability'!$O$2:$O$25,MATCH(B45,'SKU_Profitability'!$A$2:$A$25,0)),0)+IFERROR(INDEX('SKU_Profitability'!$P$2:$P$25,MATCH(B45,'SKU_Profitability'!$A$2:$A$25,0)),0)</x:f>
        <x:v>1.354986111111111</x:v>
      </x:c>
      <x:c r="K45" s="26" t="n">
        <x:f>E45-G45-H45-D45*(I45+J45)</x:f>
        <x:v>2286.393418506852</x:v>
      </x:c>
      <x:c r="L45" s="30" t="n">
        <x:f>IF(E45=0,0,K45/E45)</x:f>
        <x:v>0.18555201671862578</x:v>
      </x:c>
      <x:c r="M45" s="30" t="n">
        <x:f>IFERROR(INDEX('SKU_Profitability'!$AD$2:$AD$25,MATCH(B45,'SKU_Profitability'!$A$2:$A$25,0)),0)</x:f>
        <x:v>0.32999999999999996</x:v>
      </x:c>
      <x:c r="N45" s="8" t="str">
        <x:f>IF(D45=0,"NO SALES",IF(K45&lt;=0,"IMMEDIATE REVIEW",IF(AND(E45&gt;0,G45/E45&gt;'Cost_Assumptions'!$B$15),"FREIGHT / CUSTOMER REVIEW",IF(L45&lt;M45,"PRICE / COST REVIEW","MONITOR"))))</x:f>
        <x:v>FREIGHT / CUSTOMER REVIEW</x:v>
      </x:c>
    </x:row>
    <x:row r="46">
      <x:c r="A46" s="6" t="str">
        <x:v>Sample Customer A</x:v>
      </x:c>
      <x:c r="B46" s="7" t="str">
        <x:v>FG-015</x:v>
      </x:c>
      <x:c r="C46" s="7" t="str">
        <x:f>IFERROR(INDEX('Product_Master'!$B$2:$B$25,MATCH(B46,'Product_Master'!$A$2:$A$25,0)),"")</x:f>
        <x:v>Prime Tan Product</x:v>
      </x:c>
      <x:c r="D46" s="24" t="n">
        <x:f>SUMIFS('Sales_Detail'!$E$2:$E$289,'Sales_Detail'!$C$2:$C$289,A46,'Sales_Detail'!$D$2:$D$289,B46,'Sales_Detail'!$A$2:$A$289,"&gt;="&amp;'Cost_Assumptions'!$B$6,'Sales_Detail'!$A$2:$A$289,"&lt;="&amp;'Cost_Assumptions'!$B$7)</x:f>
        <x:v>590</x:v>
      </x:c>
      <x:c r="E46" s="26" t="n">
        <x:f>SUMIFS('Sales_Detail'!$I$2:$I$289,'Sales_Detail'!$C$2:$C$289,A46,'Sales_Detail'!$D$2:$D$289,B46,'Sales_Detail'!$A$2:$A$289,"&gt;="&amp;'Cost_Assumptions'!$B$6,'Sales_Detail'!$A$2:$A$289,"&lt;="&amp;'Cost_Assumptions'!$B$7)</x:f>
        <x:v>13890.718383912648</x:v>
      </x:c>
      <x:c r="F46" s="26" t="n">
        <x:f>IF(D46=0,0,E46/D46)</x:f>
        <x:v>23.54359048120788</x:v>
      </x:c>
      <x:c r="G46" s="26" t="n">
        <x:f>SUMIFS('Sales_Detail'!$J$2:$J$289,'Sales_Detail'!$C$2:$C$289,A46,'Sales_Detail'!$D$2:$D$289,B46,'Sales_Detail'!$A$2:$A$289,"&gt;="&amp;'Cost_Assumptions'!$B$6,'Sales_Detail'!$A$2:$A$289,"&lt;="&amp;'Cost_Assumptions'!$B$7)</x:f>
        <x:v>3333.5</x:v>
      </x:c>
      <x:c r="H46" s="26" t="n">
        <x:f>SUMIFS('Sales_Detail'!$K$2:$K$289,'Sales_Detail'!$C$2:$C$289,A46,'Sales_Detail'!$D$2:$D$289,B46,'Sales_Detail'!$A$2:$A$289,"&gt;="&amp;'Cost_Assumptions'!$B$6,'Sales_Detail'!$A$2:$A$289,"&lt;="&amp;'Cost_Assumptions'!$B$7)</x:f>
        <x:v>361.15867798172883</x:v>
      </x:c>
      <x:c r="I46" s="26" t="n">
        <x:f>IFERROR(INDEX('SKU_Profitability'!$N$2:$N$25,MATCH(B46,'SKU_Profitability'!$A$2:$A$25,0)),0)</x:f>
        <x:v>9.969397729599999</x:v>
      </x:c>
      <x:c r="J46" s="26" t="n">
        <x:f>IFERROR(INDEX('SKU_Profitability'!$O$2:$O$25,MATCH(B46,'SKU_Profitability'!$A$2:$A$25,0)),0)+IFERROR(INDEX('SKU_Profitability'!$P$2:$P$25,MATCH(B46,'SKU_Profitability'!$A$2:$A$25,0)),0)</x:f>
        <x:v>1.354986111111111</x:v>
      </x:c>
      <x:c r="K46" s="26" t="n">
        <x:f>E46-G46-H46-D46*(I46+J46)</x:f>
        <x:v>3514.6732399113653</x:v>
      </x:c>
      <x:c r="L46" s="30" t="n">
        <x:f>IF(E46=0,0,K46/E46)</x:f>
        <x:v>0.25302314414363464</x:v>
      </x:c>
      <x:c r="M46" s="30" t="n">
        <x:f>IFERROR(INDEX('SKU_Profitability'!$AD$2:$AD$25,MATCH(B46,'SKU_Profitability'!$A$2:$A$25,0)),0)</x:f>
        <x:v>0.32999999999999996</x:v>
      </x:c>
      <x:c r="N46" s="8" t="str">
        <x:f>IF(D46=0,"NO SALES",IF(K46&lt;=0,"IMMEDIATE REVIEW",IF(AND(E46&gt;0,G46/E46&gt;'Cost_Assumptions'!$B$15),"FREIGHT / CUSTOMER REVIEW",IF(L46&lt;M46,"PRICE / COST REVIEW","MONITOR"))))</x:f>
        <x:v>FREIGHT / CUSTOMER REVIEW</x:v>
      </x:c>
    </x:row>
    <x:row r="47">
      <x:c r="A47" s="6" t="str">
        <x:v>Sample Customer D</x:v>
      </x:c>
      <x:c r="B47" s="7" t="str">
        <x:v>FG-016</x:v>
      </x:c>
      <x:c r="C47" s="7" t="str">
        <x:f>IFERROR(INDEX('Product_Master'!$B$2:$B$25,MATCH(B47,'Product_Master'!$A$2:$A$25,0)),"")</x:f>
        <x:v>Prime Blue Product</x:v>
      </x:c>
      <x:c r="D47" s="24" t="n">
        <x:f>SUMIFS('Sales_Detail'!$E$2:$E$289,'Sales_Detail'!$C$2:$C$289,A47,'Sales_Detail'!$D$2:$D$289,B47,'Sales_Detail'!$A$2:$A$289,"&gt;="&amp;'Cost_Assumptions'!$B$6,'Sales_Detail'!$A$2:$A$289,"&lt;="&amp;'Cost_Assumptions'!$B$7)</x:f>
        <x:v>410</x:v>
      </x:c>
      <x:c r="E47" s="26" t="n">
        <x:f>SUMIFS('Sales_Detail'!$I$2:$I$289,'Sales_Detail'!$C$2:$C$289,A47,'Sales_Detail'!$D$2:$D$289,B47,'Sales_Detail'!$A$2:$A$289,"&gt;="&amp;'Cost_Assumptions'!$B$6,'Sales_Detail'!$A$2:$A$289,"&lt;="&amp;'Cost_Assumptions'!$B$7)</x:f>
        <x:v>11331.459754355066</x:v>
      </x:c>
      <x:c r="F47" s="26" t="n">
        <x:f>IF(D47=0,0,E47/D47)</x:f>
        <x:v>27.637706717939185</x:v>
      </x:c>
      <x:c r="G47" s="26" t="n">
        <x:f>SUMIFS('Sales_Detail'!$J$2:$J$289,'Sales_Detail'!$C$2:$C$289,A47,'Sales_Detail'!$D$2:$D$289,B47,'Sales_Detail'!$A$2:$A$289,"&gt;="&amp;'Cost_Assumptions'!$B$6,'Sales_Detail'!$A$2:$A$289,"&lt;="&amp;'Cost_Assumptions'!$B$7)</x:f>
        <x:v>1537.5</x:v>
      </x:c>
      <x:c r="H47" s="26" t="n">
        <x:f>SUMIFS('Sales_Detail'!$K$2:$K$289,'Sales_Detail'!$C$2:$C$289,A47,'Sales_Detail'!$D$2:$D$289,B47,'Sales_Detail'!$A$2:$A$289,"&gt;="&amp;'Cost_Assumptions'!$B$6,'Sales_Detail'!$A$2:$A$289,"&lt;="&amp;'Cost_Assumptions'!$B$7)</x:f>
        <x:v>203.96627557839116</x:v>
      </x:c>
      <x:c r="I47" s="26" t="n">
        <x:f>IFERROR(INDEX('SKU_Profitability'!$N$2:$N$25,MATCH(B47,'SKU_Profitability'!$A$2:$A$25,0)),0)</x:f>
        <x:v>9.5019666688</x:v>
      </x:c>
      <x:c r="J47" s="26" t="n">
        <x:f>IFERROR(INDEX('SKU_Profitability'!$O$2:$O$25,MATCH(B47,'SKU_Profitability'!$A$2:$A$25,0)),0)+IFERROR(INDEX('SKU_Profitability'!$P$2:$P$25,MATCH(B47,'SKU_Profitability'!$A$2:$A$25,0)),0)</x:f>
        <x:v>4.190476190476191</x:v>
      </x:c>
      <x:c r="K47" s="26" t="n">
        <x:f>E47-G47-H47-D47*(I47+J47)</x:f>
        <x:v>3976.091906473436</x:v>
      </x:c>
      <x:c r="L47" s="30" t="n">
        <x:f>IF(E47=0,0,K47/E47)</x:f>
        <x:v>0.3508896464063501</x:v>
      </x:c>
      <x:c r="M47" s="30" t="n">
        <x:f>IFERROR(INDEX('SKU_Profitability'!$AD$2:$AD$25,MATCH(B47,'SKU_Profitability'!$A$2:$A$25,0)),0)</x:f>
        <x:v>0.345</x:v>
      </x:c>
      <x:c r="N47" s="8" t="str">
        <x:f>IF(D47=0,"NO SALES",IF(K47&lt;=0,"IMMEDIATE REVIEW",IF(AND(E47&gt;0,G47/E47&gt;'Cost_Assumptions'!$B$15),"FREIGHT / CUSTOMER REVIEW",IF(L47&lt;M47,"PRICE / COST REVIEW","MONITOR"))))</x:f>
        <x:v>MONITOR</x:v>
      </x:c>
    </x:row>
    <x:row r="48">
      <x:c r="A48" s="6" t="str">
        <x:v>Sample Customer F</x:v>
      </x:c>
      <x:c r="B48" s="7" t="str">
        <x:v>FG-016</x:v>
      </x:c>
      <x:c r="C48" s="7" t="str">
        <x:f>IFERROR(INDEX('Product_Master'!$B$2:$B$25,MATCH(B48,'Product_Master'!$A$2:$A$25,0)),"")</x:f>
        <x:v>Prime Blue Product</x:v>
      </x:c>
      <x:c r="D48" s="24" t="n">
        <x:f>SUMIFS('Sales_Detail'!$E$2:$E$289,'Sales_Detail'!$C$2:$C$289,A48,'Sales_Detail'!$D$2:$D$289,B48,'Sales_Detail'!$A$2:$A$289,"&gt;="&amp;'Cost_Assumptions'!$B$6,'Sales_Detail'!$A$2:$A$289,"&lt;="&amp;'Cost_Assumptions'!$B$7)</x:f>
        <x:v>430</x:v>
      </x:c>
      <x:c r="E48" s="26" t="n">
        <x:f>SUMIFS('Sales_Detail'!$I$2:$I$289,'Sales_Detail'!$C$2:$C$289,A48,'Sales_Detail'!$D$2:$D$289,B48,'Sales_Detail'!$A$2:$A$289,"&gt;="&amp;'Cost_Assumptions'!$B$6,'Sales_Detail'!$A$2:$A$289,"&lt;="&amp;'Cost_Assumptions'!$B$7)</x:f>
        <x:v>12278.458651516488</x:v>
      </x:c>
      <x:c r="F48" s="26" t="n">
        <x:f>IF(D48=0,0,E48/D48)</x:f>
        <x:v>28.554555003526715</x:v>
      </x:c>
      <x:c r="G48" s="26" t="n">
        <x:f>SUMIFS('Sales_Detail'!$J$2:$J$289,'Sales_Detail'!$C$2:$C$289,A48,'Sales_Detail'!$D$2:$D$289,B48,'Sales_Detail'!$A$2:$A$289,"&gt;="&amp;'Cost_Assumptions'!$B$6,'Sales_Detail'!$A$2:$A$289,"&lt;="&amp;'Cost_Assumptions'!$B$7)</x:f>
        <x:v>2176.875</x:v>
      </x:c>
      <x:c r="H48" s="26" t="n">
        <x:f>SUMIFS('Sales_Detail'!$K$2:$K$289,'Sales_Detail'!$C$2:$C$289,A48,'Sales_Detail'!$D$2:$D$289,B48,'Sales_Detail'!$A$2:$A$289,"&gt;="&amp;'Cost_Assumptions'!$B$6,'Sales_Detail'!$A$2:$A$289,"&lt;="&amp;'Cost_Assumptions'!$B$7)</x:f>
        <x:v>221.01225572729675</x:v>
      </x:c>
      <x:c r="I48" s="26" t="n">
        <x:f>IFERROR(INDEX('SKU_Profitability'!$N$2:$N$25,MATCH(B48,'SKU_Profitability'!$A$2:$A$25,0)),0)</x:f>
        <x:v>9.5019666688</x:v>
      </x:c>
      <x:c r="J48" s="26" t="n">
        <x:f>IFERROR(INDEX('SKU_Profitability'!$O$2:$O$25,MATCH(B48,'SKU_Profitability'!$A$2:$A$25,0)),0)+IFERROR(INDEX('SKU_Profitability'!$P$2:$P$25,MATCH(B48,'SKU_Profitability'!$A$2:$A$25,0)),0)</x:f>
        <x:v>4.190476190476191</x:v>
      </x:c>
      <x:c r="K48" s="26" t="n">
        <x:f>E48-G48-H48-D48*(I48+J48)</x:f>
        <x:v>3992.820966300429</x:v>
      </x:c>
      <x:c r="L48" s="30" t="n">
        <x:f>IF(E48=0,0,K48/E48)</x:f>
        <x:v>0.3251891039114493</x:v>
      </x:c>
      <x:c r="M48" s="30" t="n">
        <x:f>IFERROR(INDEX('SKU_Profitability'!$AD$2:$AD$25,MATCH(B48,'SKU_Profitability'!$A$2:$A$25,0)),0)</x:f>
        <x:v>0.345</x:v>
      </x:c>
      <x:c r="N48" s="8" t="str">
        <x:f>IF(D48=0,"NO SALES",IF(K48&lt;=0,"IMMEDIATE REVIEW",IF(AND(E48&gt;0,G48/E48&gt;'Cost_Assumptions'!$B$15),"FREIGHT / CUSTOMER REVIEW",IF(L48&lt;M48,"PRICE / COST REVIEW","MONITOR"))))</x:f>
        <x:v>FREIGHT / CUSTOMER REVIEW</x:v>
      </x:c>
    </x:row>
    <x:row r="49">
      <x:c r="A49" s="6" t="str">
        <x:v>Sample Customer B</x:v>
      </x:c>
      <x:c r="B49" s="7" t="str">
        <x:v>FG-016</x:v>
      </x:c>
      <x:c r="C49" s="7" t="str">
        <x:f>IFERROR(INDEX('Product_Master'!$B$2:$B$25,MATCH(B49,'Product_Master'!$A$2:$A$25,0)),"")</x:f>
        <x:v>Prime Blue Product</x:v>
      </x:c>
      <x:c r="D49" s="24" t="n">
        <x:f>SUMIFS('Sales_Detail'!$E$2:$E$289,'Sales_Detail'!$C$2:$C$289,A49,'Sales_Detail'!$D$2:$D$289,B49,'Sales_Detail'!$A$2:$A$289,"&gt;="&amp;'Cost_Assumptions'!$B$6,'Sales_Detail'!$A$2:$A$289,"&lt;="&amp;'Cost_Assumptions'!$B$7)</x:f>
        <x:v>470</x:v>
      </x:c>
      <x:c r="E49" s="26" t="n">
        <x:f>SUMIFS('Sales_Detail'!$I$2:$I$289,'Sales_Detail'!$C$2:$C$289,A49,'Sales_Detail'!$D$2:$D$289,B49,'Sales_Detail'!$A$2:$A$289,"&gt;="&amp;'Cost_Assumptions'!$B$6,'Sales_Detail'!$A$2:$A$289,"&lt;="&amp;'Cost_Assumptions'!$B$7)</x:f>
        <x:v>13823.260077207284</x:v>
      </x:c>
      <x:c r="F49" s="26" t="n">
        <x:f>IF(D49=0,0,E49/D49)</x:f>
        <x:v>29.411191653632518</x:v>
      </x:c>
      <x:c r="G49" s="26" t="n">
        <x:f>SUMIFS('Sales_Detail'!$J$2:$J$289,'Sales_Detail'!$C$2:$C$289,A49,'Sales_Detail'!$D$2:$D$289,B49,'Sales_Detail'!$A$2:$A$289,"&gt;="&amp;'Cost_Assumptions'!$B$6,'Sales_Detail'!$A$2:$A$289,"&lt;="&amp;'Cost_Assumptions'!$B$7)</x:f>
        <x:v>1762.5</x:v>
      </x:c>
      <x:c r="H49" s="26" t="n">
        <x:f>SUMIFS('Sales_Detail'!$K$2:$K$289,'Sales_Detail'!$C$2:$C$289,A49,'Sales_Detail'!$D$2:$D$289,B49,'Sales_Detail'!$A$2:$A$289,"&gt;="&amp;'Cost_Assumptions'!$B$6,'Sales_Detail'!$A$2:$A$289,"&lt;="&amp;'Cost_Assumptions'!$B$7)</x:f>
        <x:v>248.8186813897311</x:v>
      </x:c>
      <x:c r="I49" s="26" t="n">
        <x:f>IFERROR(INDEX('SKU_Profitability'!$N$2:$N$25,MATCH(B49,'SKU_Profitability'!$A$2:$A$25,0)),0)</x:f>
        <x:v>9.5019666688</x:v>
      </x:c>
      <x:c r="J49" s="26" t="n">
        <x:f>IFERROR(INDEX('SKU_Profitability'!$O$2:$O$25,MATCH(B49,'SKU_Profitability'!$A$2:$A$25,0)),0)+IFERROR(INDEX('SKU_Profitability'!$P$2:$P$25,MATCH(B49,'SKU_Profitability'!$A$2:$A$25,0)),0)</x:f>
        <x:v>4.190476190476191</x:v>
      </x:c>
      <x:c r="K49" s="26" t="n">
        <x:f>E49-G49-H49-D49*(I49+J49)</x:f>
        <x:v>5376.493251957742</x:v>
      </x:c>
      <x:c r="L49" s="30" t="n">
        <x:f>IF(E49=0,0,K49/E49)</x:f>
        <x:v>0.3889453878410972</x:v>
      </x:c>
      <x:c r="M49" s="30" t="n">
        <x:f>IFERROR(INDEX('SKU_Profitability'!$AD$2:$AD$25,MATCH(B49,'SKU_Profitability'!$A$2:$A$25,0)),0)</x:f>
        <x:v>0.345</x:v>
      </x:c>
      <x:c r="N49" s="8" t="str">
        <x:f>IF(D49=0,"NO SALES",IF(K49&lt;=0,"IMMEDIATE REVIEW",IF(AND(E49&gt;0,G49/E49&gt;'Cost_Assumptions'!$B$15),"FREIGHT / CUSTOMER REVIEW",IF(L49&lt;M49,"PRICE / COST REVIEW","MONITOR"))))</x:f>
        <x:v>MONITOR</x:v>
      </x:c>
    </x:row>
    <x:row r="50">
      <x:c r="A50" s="6" t="str">
        <x:v>Sample Customer E</x:v>
      </x:c>
      <x:c r="B50" s="7" t="str">
        <x:v>FG-017</x:v>
      </x:c>
      <x:c r="C50" s="7" t="str">
        <x:f>IFERROR(INDEX('Product_Master'!$B$2:$B$25,MATCH(B50,'Product_Master'!$A$2:$A$25,0)),"")</x:f>
        <x:v>Prime Gray Product</x:v>
      </x:c>
      <x:c r="D50" s="24" t="n">
        <x:f>SUMIFS('Sales_Detail'!$E$2:$E$289,'Sales_Detail'!$C$2:$C$289,A50,'Sales_Detail'!$D$2:$D$289,B50,'Sales_Detail'!$A$2:$A$289,"&gt;="&amp;'Cost_Assumptions'!$B$6,'Sales_Detail'!$A$2:$A$289,"&lt;="&amp;'Cost_Assumptions'!$B$7)</x:f>
        <x:v>1750</x:v>
      </x:c>
      <x:c r="E50" s="26" t="n">
        <x:f>SUMIFS('Sales_Detail'!$I$2:$I$289,'Sales_Detail'!$C$2:$C$289,A50,'Sales_Detail'!$D$2:$D$289,B50,'Sales_Detail'!$A$2:$A$289,"&gt;="&amp;'Cost_Assumptions'!$B$6,'Sales_Detail'!$A$2:$A$289,"&lt;="&amp;'Cost_Assumptions'!$B$7)</x:f>
        <x:v>38911.305649735696</x:v>
      </x:c>
      <x:c r="F50" s="26" t="n">
        <x:f>IF(D50=0,0,E50/D50)</x:f>
        <x:v>22.23503179984897</x:v>
      </x:c>
      <x:c r="G50" s="26" t="n">
        <x:f>SUMIFS('Sales_Detail'!$J$2:$J$289,'Sales_Detail'!$C$2:$C$289,A50,'Sales_Detail'!$D$2:$D$289,B50,'Sales_Detail'!$A$2:$A$289,"&gt;="&amp;'Cost_Assumptions'!$B$6,'Sales_Detail'!$A$2:$A$289,"&lt;="&amp;'Cost_Assumptions'!$B$7)</x:f>
        <x:v>6401.5</x:v>
      </x:c>
      <x:c r="H50" s="26" t="n">
        <x:f>SUMIFS('Sales_Detail'!$K$2:$K$289,'Sales_Detail'!$C$2:$C$289,A50,'Sales_Detail'!$D$2:$D$289,B50,'Sales_Detail'!$A$2:$A$289,"&gt;="&amp;'Cost_Assumptions'!$B$6,'Sales_Detail'!$A$2:$A$289,"&lt;="&amp;'Cost_Assumptions'!$B$7)</x:f>
        <x:v>856.0487242941853</x:v>
      </x:c>
      <x:c r="I50" s="26" t="n">
        <x:f>IFERROR(INDEX('SKU_Profitability'!$N$2:$N$25,MATCH(B50,'SKU_Profitability'!$A$2:$A$25,0)),0)</x:f>
        <x:v>9.35416438712</x:v>
      </x:c>
      <x:c r="J50" s="26" t="n">
        <x:f>IFERROR(INDEX('SKU_Profitability'!$O$2:$O$25,MATCH(B50,'SKU_Profitability'!$A$2:$A$25,0)),0)+IFERROR(INDEX('SKU_Profitability'!$P$2:$P$25,MATCH(B50,'SKU_Profitability'!$A$2:$A$25,0)),0)</x:f>
        <x:v>0.5418452380952381</x:v>
      </x:c>
      <x:c r="K50" s="26" t="n">
        <x:f>E50-G50-H50-D50*(I50+J50)</x:f>
        <x:v>14335.740081314842</x:v>
      </x:c>
      <x:c r="L50" s="30" t="n">
        <x:f>IF(E50=0,0,K50/E50)</x:f>
        <x:v>0.36842094712419954</x:v>
      </x:c>
      <x:c r="M50" s="30" t="n">
        <x:f>IFERROR(INDEX('SKU_Profitability'!$AD$2:$AD$25,MATCH(B50,'SKU_Profitability'!$A$2:$A$25,0)),0)</x:f>
        <x:v>0.3</x:v>
      </x:c>
      <x:c r="N50" s="8" t="str">
        <x:f>IF(D50=0,"NO SALES",IF(K50&lt;=0,"IMMEDIATE REVIEW",IF(AND(E50&gt;0,G50/E50&gt;'Cost_Assumptions'!$B$15),"FREIGHT / CUSTOMER REVIEW",IF(L50&lt;M50,"PRICE / COST REVIEW","MONITOR"))))</x:f>
        <x:v>FREIGHT / CUSTOMER REVIEW</x:v>
      </x:c>
    </x:row>
    <x:row r="51">
      <x:c r="A51" s="6" t="str">
        <x:v>Sample Customer A</x:v>
      </x:c>
      <x:c r="B51" s="7" t="str">
        <x:v>FG-017</x:v>
      </x:c>
      <x:c r="C51" s="7" t="str">
        <x:f>IFERROR(INDEX('Product_Master'!$B$2:$B$25,MATCH(B51,'Product_Master'!$A$2:$A$25,0)),"")</x:f>
        <x:v>Prime Gray Product</x:v>
      </x:c>
      <x:c r="D51" s="24" t="n">
        <x:f>SUMIFS('Sales_Detail'!$E$2:$E$289,'Sales_Detail'!$C$2:$C$289,A51,'Sales_Detail'!$D$2:$D$289,B51,'Sales_Detail'!$A$2:$A$289,"&gt;="&amp;'Cost_Assumptions'!$B$6,'Sales_Detail'!$A$2:$A$289,"&lt;="&amp;'Cost_Assumptions'!$B$7)</x:f>
        <x:v>1880</x:v>
      </x:c>
      <x:c r="E51" s="26" t="n">
        <x:f>SUMIFS('Sales_Detail'!$I$2:$I$289,'Sales_Detail'!$C$2:$C$289,A51,'Sales_Detail'!$D$2:$D$289,B51,'Sales_Detail'!$A$2:$A$289,"&gt;="&amp;'Cost_Assumptions'!$B$6,'Sales_Detail'!$A$2:$A$289,"&lt;="&amp;'Cost_Assumptions'!$B$7)</x:f>
        <x:v>43094.70080795471</x:v>
      </x:c>
      <x:c r="F51" s="26" t="n">
        <x:f>IF(D51=0,0,E51/D51)</x:f>
        <x:v>22.92271319572059</x:v>
      </x:c>
      <x:c r="G51" s="26" t="n">
        <x:f>SUMIFS('Sales_Detail'!$J$2:$J$289,'Sales_Detail'!$C$2:$C$289,A51,'Sales_Detail'!$D$2:$D$289,B51,'Sales_Detail'!$A$2:$A$289,"&gt;="&amp;'Cost_Assumptions'!$B$6,'Sales_Detail'!$A$2:$A$289,"&lt;="&amp;'Cost_Assumptions'!$B$7)</x:f>
        <x:v>5828</x:v>
      </x:c>
      <x:c r="H51" s="26" t="n">
        <x:f>SUMIFS('Sales_Detail'!$K$2:$K$289,'Sales_Detail'!$C$2:$C$289,A51,'Sales_Detail'!$D$2:$D$289,B51,'Sales_Detail'!$A$2:$A$289,"&gt;="&amp;'Cost_Assumptions'!$B$6,'Sales_Detail'!$A$2:$A$289,"&lt;="&amp;'Cost_Assumptions'!$B$7)</x:f>
        <x:v>948.0834177750035</x:v>
      </x:c>
      <x:c r="I51" s="26" t="n">
        <x:f>IFERROR(INDEX('SKU_Profitability'!$N$2:$N$25,MATCH(B51,'SKU_Profitability'!$A$2:$A$25,0)),0)</x:f>
        <x:v>9.35416438712</x:v>
      </x:c>
      <x:c r="J51" s="26" t="n">
        <x:f>IFERROR(INDEX('SKU_Profitability'!$O$2:$O$25,MATCH(B51,'SKU_Profitability'!$A$2:$A$25,0)),0)+IFERROR(INDEX('SKU_Profitability'!$P$2:$P$25,MATCH(B51,'SKU_Profitability'!$A$2:$A$25,0)),0)</x:f>
        <x:v>0.5418452380952381</x:v>
      </x:c>
      <x:c r="K51" s="26" t="n">
        <x:f>E51-G51-H51-D51*(I51+J51)</x:f>
        <x:v>17714.11929477506</x:v>
      </x:c>
      <x:c r="L51" s="30" t="n">
        <x:f>IF(E51=0,0,K51/E51)</x:f>
        <x:v>0.4110509868421054</x:v>
      </x:c>
      <x:c r="M51" s="30" t="n">
        <x:f>IFERROR(INDEX('SKU_Profitability'!$AD$2:$AD$25,MATCH(B51,'SKU_Profitability'!$A$2:$A$25,0)),0)</x:f>
        <x:v>0.3</x:v>
      </x:c>
      <x:c r="N51" s="8" t="str">
        <x:f>IF(D51=0,"NO SALES",IF(K51&lt;=0,"IMMEDIATE REVIEW",IF(AND(E51&gt;0,G51/E51&gt;'Cost_Assumptions'!$B$15),"FREIGHT / CUSTOMER REVIEW",IF(L51&lt;M51,"PRICE / COST REVIEW","MONITOR"))))</x:f>
        <x:v>MONITOR</x:v>
      </x:c>
    </x:row>
    <x:row r="52">
      <x:c r="A52" s="6" t="str">
        <x:v>Sample Customer C</x:v>
      </x:c>
      <x:c r="B52" s="7" t="str">
        <x:v>FG-017</x:v>
      </x:c>
      <x:c r="C52" s="7" t="str">
        <x:f>IFERROR(INDEX('Product_Master'!$B$2:$B$25,MATCH(B52,'Product_Master'!$A$2:$A$25,0)),"")</x:f>
        <x:v>Prime Gray Product</x:v>
      </x:c>
      <x:c r="D52" s="24" t="n">
        <x:f>SUMIFS('Sales_Detail'!$E$2:$E$289,'Sales_Detail'!$C$2:$C$289,A52,'Sales_Detail'!$D$2:$D$289,B52,'Sales_Detail'!$A$2:$A$289,"&gt;="&amp;'Cost_Assumptions'!$B$6,'Sales_Detail'!$A$2:$A$289,"&lt;="&amp;'Cost_Assumptions'!$B$7)</x:f>
        <x:v>1620</x:v>
      </x:c>
      <x:c r="E52" s="26" t="n">
        <x:f>SUMIFS('Sales_Detail'!$I$2:$I$289,'Sales_Detail'!$C$2:$C$289,A52,'Sales_Detail'!$D$2:$D$289,B52,'Sales_Detail'!$A$2:$A$289,"&gt;="&amp;'Cost_Assumptions'!$B$6,'Sales_Detail'!$A$2:$A$289,"&lt;="&amp;'Cost_Assumptions'!$B$7)</x:f>
        <x:v>38185.08049393847</x:v>
      </x:c>
      <x:c r="F52" s="26" t="n">
        <x:f>IF(D52=0,0,E52/D52)</x:f>
        <x:v>23.571037341937327</x:v>
      </x:c>
      <x:c r="G52" s="26" t="n">
        <x:f>SUMIFS('Sales_Detail'!$J$2:$J$289,'Sales_Detail'!$C$2:$C$289,A52,'Sales_Detail'!$D$2:$D$289,B52,'Sales_Detail'!$A$2:$A$289,"&gt;="&amp;'Cost_Assumptions'!$B$6,'Sales_Detail'!$A$2:$A$289,"&lt;="&amp;'Cost_Assumptions'!$B$7)</x:f>
        <x:v>5022</x:v>
      </x:c>
      <x:c r="H52" s="26" t="n">
        <x:f>SUMIFS('Sales_Detail'!$K$2:$K$289,'Sales_Detail'!$C$2:$C$289,A52,'Sales_Detail'!$D$2:$D$289,B52,'Sales_Detail'!$A$2:$A$289,"&gt;="&amp;'Cost_Assumptions'!$B$6,'Sales_Detail'!$A$2:$A$289,"&lt;="&amp;'Cost_Assumptions'!$B$7)</x:f>
        <x:v>840.0717708666464</x:v>
      </x:c>
      <x:c r="I52" s="26" t="n">
        <x:f>IFERROR(INDEX('SKU_Profitability'!$N$2:$N$25,MATCH(B52,'SKU_Profitability'!$A$2:$A$25,0)),0)</x:f>
        <x:v>9.35416438712</x:v>
      </x:c>
      <x:c r="J52" s="26" t="n">
        <x:f>IFERROR(INDEX('SKU_Profitability'!$O$2:$O$25,MATCH(B52,'SKU_Profitability'!$A$2:$A$25,0)),0)+IFERROR(INDEX('SKU_Profitability'!$P$2:$P$25,MATCH(B52,'SKU_Profitability'!$A$2:$A$25,0)),0)</x:f>
        <x:v>0.5418452380952381</x:v>
      </x:c>
      <x:c r="K52" s="26" t="n">
        <x:f>E52-G52-H52-D52*(I52+J52)</x:f>
        <x:v>16291.473130223136</x:v>
      </x:c>
      <x:c r="L52" s="30" t="n">
        <x:f>IF(E52=0,0,K52/E52)</x:f>
        <x:v>0.4266449859339502</x:v>
      </x:c>
      <x:c r="M52" s="30" t="n">
        <x:f>IFERROR(INDEX('SKU_Profitability'!$AD$2:$AD$25,MATCH(B52,'SKU_Profitability'!$A$2:$A$25,0)),0)</x:f>
        <x:v>0.3</x:v>
      </x:c>
      <x:c r="N52" s="8" t="str">
        <x:f>IF(D52=0,"NO SALES",IF(K52&lt;=0,"IMMEDIATE REVIEW",IF(AND(E52&gt;0,G52/E52&gt;'Cost_Assumptions'!$B$15),"FREIGHT / CUSTOMER REVIEW",IF(L52&lt;M52,"PRICE / COST REVIEW","MONITOR"))))</x:f>
        <x:v>MONITOR</x:v>
      </x:c>
    </x:row>
    <x:row r="53">
      <x:c r="A53" s="6" t="str">
        <x:v>Sample Customer F</x:v>
      </x:c>
      <x:c r="B53" s="7" t="str">
        <x:v>FG-018</x:v>
      </x:c>
      <x:c r="C53" s="7" t="str">
        <x:f>IFERROR(INDEX('Product_Master'!$B$2:$B$25,MATCH(B53,'Product_Master'!$A$2:$A$25,0)),"")</x:f>
        <x:v>Prime Red Product</x:v>
      </x:c>
      <x:c r="D53" s="24" t="n">
        <x:f>SUMIFS('Sales_Detail'!$E$2:$E$289,'Sales_Detail'!$C$2:$C$289,A53,'Sales_Detail'!$D$2:$D$289,B53,'Sales_Detail'!$A$2:$A$289,"&gt;="&amp;'Cost_Assumptions'!$B$6,'Sales_Detail'!$A$2:$A$289,"&lt;="&amp;'Cost_Assumptions'!$B$7)</x:f>
        <x:v>1180</x:v>
      </x:c>
      <x:c r="E53" s="26" t="n">
        <x:f>SUMIFS('Sales_Detail'!$I$2:$I$289,'Sales_Detail'!$C$2:$C$289,A53,'Sales_Detail'!$D$2:$D$289,B53,'Sales_Detail'!$A$2:$A$289,"&gt;="&amp;'Cost_Assumptions'!$B$6,'Sales_Detail'!$A$2:$A$289,"&lt;="&amp;'Cost_Assumptions'!$B$7)</x:f>
        <x:v>21193.16993540542</x:v>
      </x:c>
      <x:c r="F53" s="26" t="n">
        <x:f>IF(D53=0,0,E53/D53)</x:f>
        <x:v>17.960313504580867</x:v>
      </x:c>
      <x:c r="G53" s="26" t="n">
        <x:f>SUMIFS('Sales_Detail'!$J$2:$J$289,'Sales_Detail'!$C$2:$C$289,A53,'Sales_Detail'!$D$2:$D$289,B53,'Sales_Detail'!$A$2:$A$289,"&gt;="&amp;'Cost_Assumptions'!$B$6,'Sales_Detail'!$A$2:$A$289,"&lt;="&amp;'Cost_Assumptions'!$B$7)</x:f>
        <x:v>6292.35</x:v>
      </x:c>
      <x:c r="H53" s="26" t="n">
        <x:f>SUMIFS('Sales_Detail'!$K$2:$K$289,'Sales_Detail'!$C$2:$C$289,A53,'Sales_Detail'!$D$2:$D$289,B53,'Sales_Detail'!$A$2:$A$289,"&gt;="&amp;'Cost_Assumptions'!$B$6,'Sales_Detail'!$A$2:$A$289,"&lt;="&amp;'Cost_Assumptions'!$B$7)</x:f>
        <x:v>551.0224183205409</x:v>
      </x:c>
      <x:c r="I53" s="26" t="n">
        <x:f>IFERROR(INDEX('SKU_Profitability'!$N$2:$N$25,MATCH(B53,'SKU_Profitability'!$A$2:$A$25,0)),0)</x:f>
        <x:v>9.01562709548</x:v>
      </x:c>
      <x:c r="J53" s="26" t="n">
        <x:f>IFERROR(INDEX('SKU_Profitability'!$O$2:$O$25,MATCH(B53,'SKU_Profitability'!$A$2:$A$25,0)),0)+IFERROR(INDEX('SKU_Profitability'!$P$2:$P$25,MATCH(B53,'SKU_Profitability'!$A$2:$A$25,0)),0)</x:f>
        <x:v>1.4313166666666666</x:v>
      </x:c>
      <x:c r="K53" s="26" t="n">
        <x:f>E53-G53-H53-D53*(I53+J53)</x:f>
        <x:v>2022.4038777518144</x:v>
      </x:c>
      <x:c r="L53" s="30" t="n">
        <x:f>IF(E53=0,0,K53/E53)</x:f>
        <x:v>0.09542715336666913</x:v>
      </x:c>
      <x:c r="M53" s="30" t="n">
        <x:f>IFERROR(INDEX('SKU_Profitability'!$AD$2:$AD$25,MATCH(B53,'SKU_Profitability'!$A$2:$A$25,0)),0)</x:f>
        <x:v>0.315</x:v>
      </x:c>
      <x:c r="N53" s="8" t="str">
        <x:f>IF(D53=0,"NO SALES",IF(K53&lt;=0,"IMMEDIATE REVIEW",IF(AND(E53&gt;0,G53/E53&gt;'Cost_Assumptions'!$B$15),"FREIGHT / CUSTOMER REVIEW",IF(L53&lt;M53,"PRICE / COST REVIEW","MONITOR"))))</x:f>
        <x:v>FREIGHT / CUSTOMER REVIEW</x:v>
      </x:c>
    </x:row>
    <x:row r="54">
      <x:c r="A54" s="6" t="str">
        <x:v>Sample Customer B</x:v>
      </x:c>
      <x:c r="B54" s="7" t="str">
        <x:v>FG-018</x:v>
      </x:c>
      <x:c r="C54" s="7" t="str">
        <x:f>IFERROR(INDEX('Product_Master'!$B$2:$B$25,MATCH(B54,'Product_Master'!$A$2:$A$25,0)),"")</x:f>
        <x:v>Prime Red Product</x:v>
      </x:c>
      <x:c r="D54" s="24" t="n">
        <x:f>SUMIFS('Sales_Detail'!$E$2:$E$289,'Sales_Detail'!$C$2:$C$289,A54,'Sales_Detail'!$D$2:$D$289,B54,'Sales_Detail'!$A$2:$A$289,"&gt;="&amp;'Cost_Assumptions'!$B$6,'Sales_Detail'!$A$2:$A$289,"&lt;="&amp;'Cost_Assumptions'!$B$7)</x:f>
        <x:v>1020</x:v>
      </x:c>
      <x:c r="E54" s="26" t="n">
        <x:f>SUMIFS('Sales_Detail'!$I$2:$I$289,'Sales_Detail'!$C$2:$C$289,A54,'Sales_Detail'!$D$2:$D$289,B54,'Sales_Detail'!$A$2:$A$289,"&gt;="&amp;'Cost_Assumptions'!$B$6,'Sales_Detail'!$A$2:$A$289,"&lt;="&amp;'Cost_Assumptions'!$B$7)</x:f>
        <x:v>18845.71209193918</x:v>
      </x:c>
      <x:c r="F54" s="26" t="n">
        <x:f>IF(D54=0,0,E54/D54)</x:f>
        <x:v>18.476188325430567</x:v>
      </x:c>
      <x:c r="G54" s="26" t="n">
        <x:f>SUMIFS('Sales_Detail'!$J$2:$J$289,'Sales_Detail'!$C$2:$C$289,A54,'Sales_Detail'!$D$2:$D$289,B54,'Sales_Detail'!$A$2:$A$289,"&gt;="&amp;'Cost_Assumptions'!$B$6,'Sales_Detail'!$A$2:$A$289,"&lt;="&amp;'Cost_Assumptions'!$B$7)</x:f>
        <x:v>4029</x:v>
      </x:c>
      <x:c r="H54" s="26" t="n">
        <x:f>SUMIFS('Sales_Detail'!$K$2:$K$289,'Sales_Detail'!$C$2:$C$289,A54,'Sales_Detail'!$D$2:$D$289,B54,'Sales_Detail'!$A$2:$A$289,"&gt;="&amp;'Cost_Assumptions'!$B$6,'Sales_Detail'!$A$2:$A$289,"&lt;="&amp;'Cost_Assumptions'!$B$7)</x:f>
        <x:v>489.98851439041863</x:v>
      </x:c>
      <x:c r="I54" s="26" t="n">
        <x:f>IFERROR(INDEX('SKU_Profitability'!$N$2:$N$25,MATCH(B54,'SKU_Profitability'!$A$2:$A$25,0)),0)</x:f>
        <x:v>9.01562709548</x:v>
      </x:c>
      <x:c r="J54" s="26" t="n">
        <x:f>IFERROR(INDEX('SKU_Profitability'!$O$2:$O$25,MATCH(B54,'SKU_Profitability'!$A$2:$A$25,0)),0)+IFERROR(INDEX('SKU_Profitability'!$P$2:$P$25,MATCH(B54,'SKU_Profitability'!$A$2:$A$25,0)),0)</x:f>
        <x:v>1.4313166666666666</x:v>
      </x:c>
      <x:c r="K54" s="26" t="n">
        <x:f>E54-G54-H54-D54*(I54+J54)</x:f>
        <x:v>3670.840940159158</x:v>
      </x:c>
      <x:c r="L54" s="30" t="n">
        <x:f>IF(E54=0,0,K54/E54)</x:f>
        <x:v>0.19478388093009635</x:v>
      </x:c>
      <x:c r="M54" s="30" t="n">
        <x:f>IFERROR(INDEX('SKU_Profitability'!$AD$2:$AD$25,MATCH(B54,'SKU_Profitability'!$A$2:$A$25,0)),0)</x:f>
        <x:v>0.315</x:v>
      </x:c>
      <x:c r="N54" s="8" t="str">
        <x:f>IF(D54=0,"NO SALES",IF(K54&lt;=0,"IMMEDIATE REVIEW",IF(AND(E54&gt;0,G54/E54&gt;'Cost_Assumptions'!$B$15),"FREIGHT / CUSTOMER REVIEW",IF(L54&lt;M54,"PRICE / COST REVIEW","MONITOR"))))</x:f>
        <x:v>FREIGHT / CUSTOMER REVIEW</x:v>
      </x:c>
    </x:row>
    <x:row r="55">
      <x:c r="A55" s="6" t="str">
        <x:v>Sample Customer D</x:v>
      </x:c>
      <x:c r="B55" s="7" t="str">
        <x:v>FG-018</x:v>
      </x:c>
      <x:c r="C55" s="7" t="str">
        <x:f>IFERROR(INDEX('Product_Master'!$B$2:$B$25,MATCH(B55,'Product_Master'!$A$2:$A$25,0)),"")</x:f>
        <x:v>Prime Red Product</x:v>
      </x:c>
      <x:c r="D55" s="24" t="n">
        <x:f>SUMIFS('Sales_Detail'!$E$2:$E$289,'Sales_Detail'!$C$2:$C$289,A55,'Sales_Detail'!$D$2:$D$289,B55,'Sales_Detail'!$A$2:$A$289,"&gt;="&amp;'Cost_Assumptions'!$B$6,'Sales_Detail'!$A$2:$A$289,"&lt;="&amp;'Cost_Assumptions'!$B$7)</x:f>
        <x:v>1100</x:v>
      </x:c>
      <x:c r="E55" s="26" t="n">
        <x:f>SUMIFS('Sales_Detail'!$I$2:$I$289,'Sales_Detail'!$C$2:$C$289,A55,'Sales_Detail'!$D$2:$D$289,B55,'Sales_Detail'!$A$2:$A$289,"&gt;="&amp;'Cost_Assumptions'!$B$6,'Sales_Detail'!$A$2:$A$289,"&lt;="&amp;'Cost_Assumptions'!$B$7)</x:f>
        <x:v>20978.386804835172</x:v>
      </x:c>
      <x:c r="F55" s="26" t="n">
        <x:f>IF(D55=0,0,E55/D55)</x:f>
        <x:v>19.07126073166834</x:v>
      </x:c>
      <x:c r="G55" s="26" t="n">
        <x:f>SUMIFS('Sales_Detail'!$J$2:$J$289,'Sales_Detail'!$C$2:$C$289,A55,'Sales_Detail'!$D$2:$D$289,B55,'Sales_Detail'!$A$2:$A$289,"&gt;="&amp;'Cost_Assumptions'!$B$6,'Sales_Detail'!$A$2:$A$289,"&lt;="&amp;'Cost_Assumptions'!$B$7)</x:f>
        <x:v>4345</x:v>
      </x:c>
      <x:c r="H55" s="26" t="n">
        <x:f>SUMIFS('Sales_Detail'!$K$2:$K$289,'Sales_Detail'!$C$2:$C$289,A55,'Sales_Detail'!$D$2:$D$289,B55,'Sales_Detail'!$A$2:$A$289,"&gt;="&amp;'Cost_Assumptions'!$B$6,'Sales_Detail'!$A$2:$A$289,"&lt;="&amp;'Cost_Assumptions'!$B$7)</x:f>
        <x:v>545.4380569257145</x:v>
      </x:c>
      <x:c r="I55" s="26" t="n">
        <x:f>IFERROR(INDEX('SKU_Profitability'!$N$2:$N$25,MATCH(B55,'SKU_Profitability'!$A$2:$A$25,0)),0)</x:f>
        <x:v>9.01562709548</x:v>
      </x:c>
      <x:c r="J55" s="26" t="n">
        <x:f>IFERROR(INDEX('SKU_Profitability'!$O$2:$O$25,MATCH(B55,'SKU_Profitability'!$A$2:$A$25,0)),0)+IFERROR(INDEX('SKU_Profitability'!$P$2:$P$25,MATCH(B55,'SKU_Profitability'!$A$2:$A$25,0)),0)</x:f>
        <x:v>1.4313166666666666</x:v>
      </x:c>
      <x:c r="K55" s="26" t="n">
        <x:f>E55-G55-H55-D55*(I55+J55)</x:f>
        <x:v>4596.310609548125</x:v>
      </x:c>
      <x:c r="L55" s="30" t="n">
        <x:f>IF(E55=0,0,K55/E55)</x:f>
        <x:v>0.21909742881129218</x:v>
      </x:c>
      <x:c r="M55" s="30" t="n">
        <x:f>IFERROR(INDEX('SKU_Profitability'!$AD$2:$AD$25,MATCH(B55,'SKU_Profitability'!$A$2:$A$25,0)),0)</x:f>
        <x:v>0.315</x:v>
      </x:c>
      <x:c r="N55" s="8" t="str">
        <x:f>IF(D55=0,"NO SALES",IF(K55&lt;=0,"IMMEDIATE REVIEW",IF(AND(E55&gt;0,G55/E55&gt;'Cost_Assumptions'!$B$15),"FREIGHT / CUSTOMER REVIEW",IF(L55&lt;M55,"PRICE / COST REVIEW","MONITOR"))))</x:f>
        <x:v>FREIGHT / CUSTOMER REVIEW</x:v>
      </x:c>
    </x:row>
    <x:row r="56">
      <x:c r="A56" s="6" t="str">
        <x:v>Sample Customer A</x:v>
      </x:c>
      <x:c r="B56" s="7" t="str">
        <x:v>FG-019</x:v>
      </x:c>
      <x:c r="C56" s="7" t="str">
        <x:f>IFERROR(INDEX('Product_Master'!$B$2:$B$25,MATCH(B56,'Product_Master'!$A$2:$A$25,0)),"")</x:f>
        <x:v>Flex White Product</x:v>
      </x:c>
      <x:c r="D56" s="24" t="n">
        <x:f>SUMIFS('Sales_Detail'!$E$2:$E$289,'Sales_Detail'!$C$2:$C$289,A56,'Sales_Detail'!$D$2:$D$289,B56,'Sales_Detail'!$A$2:$A$289,"&gt;="&amp;'Cost_Assumptions'!$B$6,'Sales_Detail'!$A$2:$A$289,"&lt;="&amp;'Cost_Assumptions'!$B$7)</x:f>
        <x:v>570</x:v>
      </x:c>
      <x:c r="E56" s="26" t="n">
        <x:f>SUMIFS('Sales_Detail'!$I$2:$I$289,'Sales_Detail'!$C$2:$C$289,A56,'Sales_Detail'!$D$2:$D$289,B56,'Sales_Detail'!$A$2:$A$289,"&gt;="&amp;'Cost_Assumptions'!$B$6,'Sales_Detail'!$A$2:$A$289,"&lt;="&amp;'Cost_Assumptions'!$B$7)</x:f>
        <x:v>9877.46198615251</x:v>
      </x:c>
      <x:c r="F56" s="26" t="n">
        <x:f>IF(D56=0,0,E56/D56)</x:f>
        <x:v>17.328880677460543</x:v>
      </x:c>
      <x:c r="G56" s="26" t="n">
        <x:f>SUMIFS('Sales_Detail'!$J$2:$J$289,'Sales_Detail'!$C$2:$C$289,A56,'Sales_Detail'!$D$2:$D$289,B56,'Sales_Detail'!$A$2:$A$289,"&gt;="&amp;'Cost_Assumptions'!$B$6,'Sales_Detail'!$A$2:$A$289,"&lt;="&amp;'Cost_Assumptions'!$B$7)</x:f>
        <x:v>2736</x:v>
      </x:c>
      <x:c r="H56" s="26" t="n">
        <x:f>SUMIFS('Sales_Detail'!$K$2:$K$289,'Sales_Detail'!$C$2:$C$289,A56,'Sales_Detail'!$D$2:$D$289,B56,'Sales_Detail'!$A$2:$A$289,"&gt;="&amp;'Cost_Assumptions'!$B$6,'Sales_Detail'!$A$2:$A$289,"&lt;="&amp;'Cost_Assumptions'!$B$7)</x:f>
        <x:v>177.79431575074517</x:v>
      </x:c>
      <x:c r="I56" s="26" t="n">
        <x:f>IFERROR(INDEX('SKU_Profitability'!$N$2:$N$25,MATCH(B56,'SKU_Profitability'!$A$2:$A$25,0)),0)</x:f>
        <x:v>12.2223358473</x:v>
      </x:c>
      <x:c r="J56" s="26" t="n">
        <x:f>IFERROR(INDEX('SKU_Profitability'!$O$2:$O$25,MATCH(B56,'SKU_Profitability'!$A$2:$A$25,0)),0)+IFERROR(INDEX('SKU_Profitability'!$P$2:$P$25,MATCH(B56,'SKU_Profitability'!$A$2:$A$25,0)),0)</x:f>
        <x:v>1.1360416666666666</x:v>
      </x:c>
      <x:c r="K56" s="26" t="n">
        <x:f>E56-G56-H56-D56*(I56+J56)</x:f>
        <x:v>-650.607512559236</x:v>
      </x:c>
      <x:c r="L56" s="30" t="n">
        <x:f>IF(E56=0,0,K56/E56)</x:f>
        <x:v>-0.06586788321446753</x:v>
      </x:c>
      <x:c r="M56" s="30" t="n">
        <x:f>IFERROR(INDEX('SKU_Profitability'!$AD$2:$AD$25,MATCH(B56,'SKU_Profitability'!$A$2:$A$25,0)),0)</x:f>
        <x:v>0.32999999999999996</x:v>
      </x:c>
      <x:c r="N56" s="8" t="str">
        <x:f>IF(D56=0,"NO SALES",IF(K56&lt;=0,"IMMEDIATE REVIEW",IF(AND(E56&gt;0,G56/E56&gt;'Cost_Assumptions'!$B$15),"FREIGHT / CUSTOMER REVIEW",IF(L56&lt;M56,"PRICE / COST REVIEW","MONITOR"))))</x:f>
        <x:v>IMMEDIATE REVIEW</x:v>
      </x:c>
    </x:row>
    <x:row r="57">
      <x:c r="A57" s="6" t="str">
        <x:v>Sample Customer C</x:v>
      </x:c>
      <x:c r="B57" s="7" t="str">
        <x:v>FG-019</x:v>
      </x:c>
      <x:c r="C57" s="7" t="str">
        <x:f>IFERROR(INDEX('Product_Master'!$B$2:$B$25,MATCH(B57,'Product_Master'!$A$2:$A$25,0)),"")</x:f>
        <x:v>Flex White Product</x:v>
      </x:c>
      <x:c r="D57" s="24" t="n">
        <x:f>SUMIFS('Sales_Detail'!$E$2:$E$289,'Sales_Detail'!$C$2:$C$289,A57,'Sales_Detail'!$D$2:$D$289,B57,'Sales_Detail'!$A$2:$A$289,"&gt;="&amp;'Cost_Assumptions'!$B$6,'Sales_Detail'!$A$2:$A$289,"&lt;="&amp;'Cost_Assumptions'!$B$7)</x:f>
        <x:v>630</x:v>
      </x:c>
      <x:c r="E57" s="26" t="n">
        <x:f>SUMIFS('Sales_Detail'!$I$2:$I$289,'Sales_Detail'!$C$2:$C$289,A57,'Sales_Detail'!$D$2:$D$289,B57,'Sales_Detail'!$A$2:$A$289,"&gt;="&amp;'Cost_Assumptions'!$B$6,'Sales_Detail'!$A$2:$A$289,"&lt;="&amp;'Cost_Assumptions'!$B$7)</x:f>
        <x:v>11312.424348892555</x:v>
      </x:c>
      <x:c r="F57" s="26" t="n">
        <x:f>IF(D57=0,0,E57/D57)</x:f>
        <x:v>17.956229125226276</x:v>
      </x:c>
      <x:c r="G57" s="26" t="n">
        <x:f>SUMIFS('Sales_Detail'!$J$2:$J$289,'Sales_Detail'!$C$2:$C$289,A57,'Sales_Detail'!$D$2:$D$289,B57,'Sales_Detail'!$A$2:$A$289,"&gt;="&amp;'Cost_Assumptions'!$B$6,'Sales_Detail'!$A$2:$A$289,"&lt;="&amp;'Cost_Assumptions'!$B$7)</x:f>
        <x:v>3024</x:v>
      </x:c>
      <x:c r="H57" s="26" t="n">
        <x:f>SUMIFS('Sales_Detail'!$K$2:$K$289,'Sales_Detail'!$C$2:$C$289,A57,'Sales_Detail'!$D$2:$D$289,B57,'Sales_Detail'!$A$2:$A$289,"&gt;="&amp;'Cost_Assumptions'!$B$6,'Sales_Detail'!$A$2:$A$289,"&lt;="&amp;'Cost_Assumptions'!$B$7)</x:f>
        <x:v>203.62363828006596</x:v>
      </x:c>
      <x:c r="I57" s="26" t="n">
        <x:f>IFERROR(INDEX('SKU_Profitability'!$N$2:$N$25,MATCH(B57,'SKU_Profitability'!$A$2:$A$25,0)),0)</x:f>
        <x:v>12.2223358473</x:v>
      </x:c>
      <x:c r="J57" s="26" t="n">
        <x:f>IFERROR(INDEX('SKU_Profitability'!$O$2:$O$25,MATCH(B57,'SKU_Profitability'!$A$2:$A$25,0)),0)+IFERROR(INDEX('SKU_Profitability'!$P$2:$P$25,MATCH(B57,'SKU_Profitability'!$A$2:$A$25,0)),0)</x:f>
        <x:v>1.1360416666666666</x:v>
      </x:c>
      <x:c r="K57" s="26" t="n">
        <x:f>E57-G57-H57-D57*(I57+J57)</x:f>
        <x:v>-330.97712318651156</x:v>
      </x:c>
      <x:c r="L57" s="30" t="n">
        <x:f>IF(E57=0,0,K57/E57)</x:f>
        <x:v>-0.029257841907151673</x:v>
      </x:c>
      <x:c r="M57" s="30" t="n">
        <x:f>IFERROR(INDEX('SKU_Profitability'!$AD$2:$AD$25,MATCH(B57,'SKU_Profitability'!$A$2:$A$25,0)),0)</x:f>
        <x:v>0.32999999999999996</x:v>
      </x:c>
      <x:c r="N57" s="8" t="str">
        <x:f>IF(D57=0,"NO SALES",IF(K57&lt;=0,"IMMEDIATE REVIEW",IF(AND(E57&gt;0,G57/E57&gt;'Cost_Assumptions'!$B$15),"FREIGHT / CUSTOMER REVIEW",IF(L57&lt;M57,"PRICE / COST REVIEW","MONITOR"))))</x:f>
        <x:v>IMMEDIATE REVIEW</x:v>
      </x:c>
    </x:row>
    <x:row r="58">
      <x:c r="A58" s="6" t="str">
        <x:v>Sample Customer E</x:v>
      </x:c>
      <x:c r="B58" s="7" t="str">
        <x:v>FG-019</x:v>
      </x:c>
      <x:c r="C58" s="7" t="str">
        <x:f>IFERROR(INDEX('Product_Master'!$B$2:$B$25,MATCH(B58,'Product_Master'!$A$2:$A$25,0)),"")</x:f>
        <x:v>Flex White Product</x:v>
      </x:c>
      <x:c r="D58" s="24" t="n">
        <x:f>SUMIFS('Sales_Detail'!$E$2:$E$289,'Sales_Detail'!$C$2:$C$289,A58,'Sales_Detail'!$D$2:$D$289,B58,'Sales_Detail'!$A$2:$A$289,"&gt;="&amp;'Cost_Assumptions'!$B$6,'Sales_Detail'!$A$2:$A$289,"&lt;="&amp;'Cost_Assumptions'!$B$7)</x:f>
        <x:v>670</x:v>
      </x:c>
      <x:c r="E58" s="26" t="n">
        <x:f>SUMIFS('Sales_Detail'!$I$2:$I$289,'Sales_Detail'!$C$2:$C$289,A58,'Sales_Detail'!$D$2:$D$289,B58,'Sales_Detail'!$A$2:$A$289,"&gt;="&amp;'Cost_Assumptions'!$B$6,'Sales_Detail'!$A$2:$A$289,"&lt;="&amp;'Cost_Assumptions'!$B$7)</x:f>
        <x:v>12391.593719318651</x:v>
      </x:c>
      <x:c r="F58" s="26" t="n">
        <x:f>IF(D58=0,0,E58/D58)</x:f>
        <x:v>18.49491599898306</x:v>
      </x:c>
      <x:c r="G58" s="26" t="n">
        <x:f>SUMIFS('Sales_Detail'!$J$2:$J$289,'Sales_Detail'!$C$2:$C$289,A58,'Sales_Detail'!$D$2:$D$289,B58,'Sales_Detail'!$A$2:$A$289,"&gt;="&amp;'Cost_Assumptions'!$B$6,'Sales_Detail'!$A$2:$A$289,"&lt;="&amp;'Cost_Assumptions'!$B$7)</x:f>
        <x:v>3794.88</x:v>
      </x:c>
      <x:c r="H58" s="26" t="n">
        <x:f>SUMIFS('Sales_Detail'!$K$2:$K$289,'Sales_Detail'!$C$2:$C$289,A58,'Sales_Detail'!$D$2:$D$289,B58,'Sales_Detail'!$A$2:$A$289,"&gt;="&amp;'Cost_Assumptions'!$B$6,'Sales_Detail'!$A$2:$A$289,"&lt;="&amp;'Cost_Assumptions'!$B$7)</x:f>
        <x:v>223.04868694773572</x:v>
      </x:c>
      <x:c r="I58" s="26" t="n">
        <x:f>IFERROR(INDEX('SKU_Profitability'!$N$2:$N$25,MATCH(B58,'SKU_Profitability'!$A$2:$A$25,0)),0)</x:f>
        <x:v>12.2223358473</x:v>
      </x:c>
      <x:c r="J58" s="26" t="n">
        <x:f>IFERROR(INDEX('SKU_Profitability'!$O$2:$O$25,MATCH(B58,'SKU_Profitability'!$A$2:$A$25,0)),0)+IFERROR(INDEX('SKU_Profitability'!$P$2:$P$25,MATCH(B58,'SKU_Profitability'!$A$2:$A$25,0)),0)</x:f>
        <x:v>1.1360416666666666</x:v>
      </x:c>
      <x:c r="K58" s="26" t="n">
        <x:f>E58-G58-H58-D58*(I58+J58)</x:f>
        <x:v>-576.4479019867522</x:v>
      </x:c>
      <x:c r="L58" s="30" t="n">
        <x:f>IF(E58=0,0,K58/E58)</x:f>
        <x:v>-0.04651927064781527</x:v>
      </x:c>
      <x:c r="M58" s="30" t="n">
        <x:f>IFERROR(INDEX('SKU_Profitability'!$AD$2:$AD$25,MATCH(B58,'SKU_Profitability'!$A$2:$A$25,0)),0)</x:f>
        <x:v>0.32999999999999996</x:v>
      </x:c>
      <x:c r="N58" s="8" t="str">
        <x:f>IF(D58=0,"NO SALES",IF(K58&lt;=0,"IMMEDIATE REVIEW",IF(AND(E58&gt;0,G58/E58&gt;'Cost_Assumptions'!$B$15),"FREIGHT / CUSTOMER REVIEW",IF(L58&lt;M58,"PRICE / COST REVIEW","MONITOR"))))</x:f>
        <x:v>IMMEDIATE REVIEW</x:v>
      </x:c>
    </x:row>
    <x:row r="59">
      <x:c r="A59" s="6" t="str">
        <x:v>Sample Customer B</x:v>
      </x:c>
      <x:c r="B59" s="7" t="str">
        <x:v>FG-020</x:v>
      </x:c>
      <x:c r="C59" s="7" t="str">
        <x:f>IFERROR(INDEX('Product_Master'!$B$2:$B$25,MATCH(B59,'Product_Master'!$A$2:$A$25,0)),"")</x:f>
        <x:v>Flex Black Product</x:v>
      </x:c>
      <x:c r="D59" s="24" t="n">
        <x:f>SUMIFS('Sales_Detail'!$E$2:$E$289,'Sales_Detail'!$C$2:$C$289,A59,'Sales_Detail'!$D$2:$D$289,B59,'Sales_Detail'!$A$2:$A$289,"&gt;="&amp;'Cost_Assumptions'!$B$6,'Sales_Detail'!$A$2:$A$289,"&lt;="&amp;'Cost_Assumptions'!$B$7)</x:f>
        <x:v>370</x:v>
      </x:c>
      <x:c r="E59" s="26" t="n">
        <x:f>SUMIFS('Sales_Detail'!$I$2:$I$289,'Sales_Detail'!$C$2:$C$289,A59,'Sales_Detail'!$D$2:$D$289,B59,'Sales_Detail'!$A$2:$A$289,"&gt;="&amp;'Cost_Assumptions'!$B$6,'Sales_Detail'!$A$2:$A$289,"&lt;="&amp;'Cost_Assumptions'!$B$7)</x:f>
        <x:v>14302.095855393352</x:v>
      </x:c>
      <x:c r="F59" s="26" t="n">
        <x:f>IF(D59=0,0,E59/D59)</x:f>
        <x:v>38.654313122684734</x:v>
      </x:c>
      <x:c r="G59" s="26" t="n">
        <x:f>SUMIFS('Sales_Detail'!$J$2:$J$289,'Sales_Detail'!$C$2:$C$289,A59,'Sales_Detail'!$D$2:$D$289,B59,'Sales_Detail'!$A$2:$A$289,"&gt;="&amp;'Cost_Assumptions'!$B$6,'Sales_Detail'!$A$2:$A$289,"&lt;="&amp;'Cost_Assumptions'!$B$7)</x:f>
        <x:v>2090.5</x:v>
      </x:c>
      <x:c r="H59" s="26" t="n">
        <x:f>SUMIFS('Sales_Detail'!$K$2:$K$289,'Sales_Detail'!$C$2:$C$289,A59,'Sales_Detail'!$D$2:$D$289,B59,'Sales_Detail'!$A$2:$A$289,"&gt;="&amp;'Cost_Assumptions'!$B$6,'Sales_Detail'!$A$2:$A$289,"&lt;="&amp;'Cost_Assumptions'!$B$7)</x:f>
        <x:v>314.6461088186537</x:v>
      </x:c>
      <x:c r="I59" s="26" t="n">
        <x:f>IFERROR(INDEX('SKU_Profitability'!$N$2:$N$25,MATCH(B59,'SKU_Profitability'!$A$2:$A$25,0)),0)</x:f>
        <x:v>11.105337245</x:v>
      </x:c>
      <x:c r="J59" s="26" t="n">
        <x:f>IFERROR(INDEX('SKU_Profitability'!$O$2:$O$25,MATCH(B59,'SKU_Profitability'!$A$2:$A$25,0)),0)+IFERROR(INDEX('SKU_Profitability'!$P$2:$P$25,MATCH(B59,'SKU_Profitability'!$A$2:$A$25,0)),0)</x:f>
        <x:v>6.035555555555556</x:v>
      </x:c>
      <x:c r="K59" s="26" t="n">
        <x:f>E59-G59-H59-D59*(I59+J59)</x:f>
        <x:v>5554.819410369144</x:v>
      </x:c>
      <x:c r="L59" s="30" t="n">
        <x:f>IF(E59=0,0,K59/E59)</x:f>
        <x:v>0.3883919857993686</x:v>
      </x:c>
      <x:c r="M59" s="30" t="n">
        <x:f>IFERROR(INDEX('SKU_Profitability'!$AD$2:$AD$25,MATCH(B59,'SKU_Profitability'!$A$2:$A$25,0)),0)</x:f>
        <x:v>0.345</x:v>
      </x:c>
      <x:c r="N59" s="8" t="str">
        <x:f>IF(D59=0,"NO SALES",IF(K59&lt;=0,"IMMEDIATE REVIEW",IF(AND(E59&gt;0,G59/E59&gt;'Cost_Assumptions'!$B$15),"FREIGHT / CUSTOMER REVIEW",IF(L59&lt;M59,"PRICE / COST REVIEW","MONITOR"))))</x:f>
        <x:v>MONITOR</x:v>
      </x:c>
    </x:row>
    <x:row r="60">
      <x:c r="A60" s="6" t="str">
        <x:v>Sample Customer D</x:v>
      </x:c>
      <x:c r="B60" s="7" t="str">
        <x:v>FG-020</x:v>
      </x:c>
      <x:c r="C60" s="7" t="str">
        <x:f>IFERROR(INDEX('Product_Master'!$B$2:$B$25,MATCH(B60,'Product_Master'!$A$2:$A$25,0)),"")</x:f>
        <x:v>Flex Black Product</x:v>
      </x:c>
      <x:c r="D60" s="24" t="n">
        <x:f>SUMIFS('Sales_Detail'!$E$2:$E$289,'Sales_Detail'!$C$2:$C$289,A60,'Sales_Detail'!$D$2:$D$289,B60,'Sales_Detail'!$A$2:$A$289,"&gt;="&amp;'Cost_Assumptions'!$B$6,'Sales_Detail'!$A$2:$A$289,"&lt;="&amp;'Cost_Assumptions'!$B$7)</x:f>
        <x:v>400</x:v>
      </x:c>
      <x:c r="E60" s="26" t="n">
        <x:f>SUMIFS('Sales_Detail'!$I$2:$I$289,'Sales_Detail'!$C$2:$C$289,A60,'Sales_Detail'!$D$2:$D$289,B60,'Sales_Detail'!$A$2:$A$289,"&gt;="&amp;'Cost_Assumptions'!$B$6,'Sales_Detail'!$A$2:$A$289,"&lt;="&amp;'Cost_Assumptions'!$B$7)</x:f>
        <x:v>15939.922937189582</x:v>
      </x:c>
      <x:c r="F60" s="26" t="n">
        <x:f>IF(D60=0,0,E60/D60)</x:f>
        <x:v>39.84980734297395</x:v>
      </x:c>
      <x:c r="G60" s="26" t="n">
        <x:f>SUMIFS('Sales_Detail'!$J$2:$J$289,'Sales_Detail'!$C$2:$C$289,A60,'Sales_Detail'!$D$2:$D$289,B60,'Sales_Detail'!$A$2:$A$289,"&gt;="&amp;'Cost_Assumptions'!$B$6,'Sales_Detail'!$A$2:$A$289,"&lt;="&amp;'Cost_Assumptions'!$B$7)</x:f>
        <x:v>2260</x:v>
      </x:c>
      <x:c r="H60" s="26" t="n">
        <x:f>SUMIFS('Sales_Detail'!$K$2:$K$289,'Sales_Detail'!$C$2:$C$289,A60,'Sales_Detail'!$D$2:$D$289,B60,'Sales_Detail'!$A$2:$A$289,"&gt;="&amp;'Cost_Assumptions'!$B$6,'Sales_Detail'!$A$2:$A$289,"&lt;="&amp;'Cost_Assumptions'!$B$7)</x:f>
        <x:v>350.6783046181708</x:v>
      </x:c>
      <x:c r="I60" s="26" t="n">
        <x:f>IFERROR(INDEX('SKU_Profitability'!$N$2:$N$25,MATCH(B60,'SKU_Profitability'!$A$2:$A$25,0)),0)</x:f>
        <x:v>11.105337245</x:v>
      </x:c>
      <x:c r="J60" s="26" t="n">
        <x:f>IFERROR(INDEX('SKU_Profitability'!$O$2:$O$25,MATCH(B60,'SKU_Profitability'!$A$2:$A$25,0)),0)+IFERROR(INDEX('SKU_Profitability'!$P$2:$P$25,MATCH(B60,'SKU_Profitability'!$A$2:$A$25,0)),0)</x:f>
        <x:v>6.035555555555556</x:v>
      </x:c>
      <x:c r="K60" s="26" t="n">
        <x:f>E60-G60-H60-D60*(I60+J60)</x:f>
        <x:v>6472.88751234919</x:v>
      </x:c>
      <x:c r="L60" s="30" t="n">
        <x:f>IF(E60=0,0,K60/E60)</x:f>
        <x:v>0.4060802262253876</x:v>
      </x:c>
      <x:c r="M60" s="30" t="n">
        <x:f>IFERROR(INDEX('SKU_Profitability'!$AD$2:$AD$25,MATCH(B60,'SKU_Profitability'!$A$2:$A$25,0)),0)</x:f>
        <x:v>0.345</x:v>
      </x:c>
      <x:c r="N60" s="8" t="str">
        <x:f>IF(D60=0,"NO SALES",IF(K60&lt;=0,"IMMEDIATE REVIEW",IF(AND(E60&gt;0,G60/E60&gt;'Cost_Assumptions'!$B$15),"FREIGHT / CUSTOMER REVIEW",IF(L60&lt;M60,"PRICE / COST REVIEW","MONITOR"))))</x:f>
        <x:v>MONITOR</x:v>
      </x:c>
    </x:row>
    <x:row r="61">
      <x:c r="A61" s="6" t="str">
        <x:v>Sample Customer F</x:v>
      </x:c>
      <x:c r="B61" s="7" t="str">
        <x:v>FG-020</x:v>
      </x:c>
      <x:c r="C61" s="7" t="str">
        <x:f>IFERROR(INDEX('Product_Master'!$B$2:$B$25,MATCH(B61,'Product_Master'!$A$2:$A$25,0)),"")</x:f>
        <x:v>Flex Black Product</x:v>
      </x:c>
      <x:c r="D61" s="24" t="n">
        <x:f>SUMIFS('Sales_Detail'!$E$2:$E$289,'Sales_Detail'!$C$2:$C$289,A61,'Sales_Detail'!$D$2:$D$289,B61,'Sales_Detail'!$A$2:$A$289,"&gt;="&amp;'Cost_Assumptions'!$B$6,'Sales_Detail'!$A$2:$A$289,"&lt;="&amp;'Cost_Assumptions'!$B$7)</x:f>
        <x:v>340</x:v>
      </x:c>
      <x:c r="E61" s="26" t="n">
        <x:f>SUMIFS('Sales_Detail'!$I$2:$I$289,'Sales_Detail'!$C$2:$C$289,A61,'Sales_Detail'!$D$2:$D$289,B61,'Sales_Detail'!$A$2:$A$289,"&gt;="&amp;'Cost_Assumptions'!$B$6,'Sales_Detail'!$A$2:$A$289,"&lt;="&amp;'Cost_Assumptions'!$B$7)</x:f>
        <x:v>13925.181703064807</x:v>
      </x:c>
      <x:c r="F61" s="26" t="n">
        <x:f>IF(D61=0,0,E61/D61)</x:f>
        <x:v>40.95641677372002</x:v>
      </x:c>
      <x:c r="G61" s="26" t="n">
        <x:f>SUMIFS('Sales_Detail'!$J$2:$J$289,'Sales_Detail'!$C$2:$C$289,A61,'Sales_Detail'!$D$2:$D$289,B61,'Sales_Detail'!$A$2:$A$289,"&gt;="&amp;'Cost_Assumptions'!$B$6,'Sales_Detail'!$A$2:$A$289,"&lt;="&amp;'Cost_Assumptions'!$B$7)</x:f>
        <x:v>2593.3500000000004</x:v>
      </x:c>
      <x:c r="H61" s="26" t="n">
        <x:f>SUMIFS('Sales_Detail'!$K$2:$K$289,'Sales_Detail'!$C$2:$C$289,A61,'Sales_Detail'!$D$2:$D$289,B61,'Sales_Detail'!$A$2:$A$289,"&gt;="&amp;'Cost_Assumptions'!$B$6,'Sales_Detail'!$A$2:$A$289,"&lt;="&amp;'Cost_Assumptions'!$B$7)</x:f>
        <x:v>306.35399746742576</x:v>
      </x:c>
      <x:c r="I61" s="26" t="n">
        <x:f>IFERROR(INDEX('SKU_Profitability'!$N$2:$N$25,MATCH(B61,'SKU_Profitability'!$A$2:$A$25,0)),0)</x:f>
        <x:v>11.105337245</x:v>
      </x:c>
      <x:c r="J61" s="26" t="n">
        <x:f>IFERROR(INDEX('SKU_Profitability'!$O$2:$O$25,MATCH(B61,'SKU_Profitability'!$A$2:$A$25,0)),0)+IFERROR(INDEX('SKU_Profitability'!$P$2:$P$25,MATCH(B61,'SKU_Profitability'!$A$2:$A$25,0)),0)</x:f>
        <x:v>6.035555555555556</x:v>
      </x:c>
      <x:c r="K61" s="26" t="n">
        <x:f>E61-G61-H61-D61*(I61+J61)</x:f>
        <x:v>5197.574153408492</x:v>
      </x:c>
      <x:c r="L61" s="30" t="n">
        <x:f>IF(E61=0,0,K61/E61)</x:f>
        <x:v>0.3732500059417216</x:v>
      </x:c>
      <x:c r="M61" s="30" t="n">
        <x:f>IFERROR(INDEX('SKU_Profitability'!$AD$2:$AD$25,MATCH(B61,'SKU_Profitability'!$A$2:$A$25,0)),0)</x:f>
        <x:v>0.345</x:v>
      </x:c>
      <x:c r="N61" s="8" t="str">
        <x:f>IF(D61=0,"NO SALES",IF(K61&lt;=0,"IMMEDIATE REVIEW",IF(AND(E61&gt;0,G61/E61&gt;'Cost_Assumptions'!$B$15),"FREIGHT / CUSTOMER REVIEW",IF(L61&lt;M61,"PRICE / COST REVIEW","MONITOR"))))</x:f>
        <x:v>FREIGHT / CUSTOMER REVIEW</x:v>
      </x:c>
    </x:row>
    <x:row r="62">
      <x:c r="A62" s="6" t="str">
        <x:v>Sample Customer C</x:v>
      </x:c>
      <x:c r="B62" s="7" t="str">
        <x:v>FG-021</x:v>
      </x:c>
      <x:c r="C62" s="7" t="str">
        <x:f>IFERROR(INDEX('Product_Master'!$B$2:$B$25,MATCH(B62,'Product_Master'!$A$2:$A$25,0)),"")</x:f>
        <x:v>Flex Tan Product</x:v>
      </x:c>
      <x:c r="D62" s="24" t="n">
        <x:f>SUMIFS('Sales_Detail'!$E$2:$E$289,'Sales_Detail'!$C$2:$C$289,A62,'Sales_Detail'!$D$2:$D$289,B62,'Sales_Detail'!$A$2:$A$289,"&gt;="&amp;'Cost_Assumptions'!$B$6,'Sales_Detail'!$A$2:$A$289,"&lt;="&amp;'Cost_Assumptions'!$B$7)</x:f>
        <x:v>1210</x:v>
      </x:c>
      <x:c r="E62" s="26" t="n">
        <x:f>SUMIFS('Sales_Detail'!$I$2:$I$289,'Sales_Detail'!$C$2:$C$289,A62,'Sales_Detail'!$D$2:$D$289,B62,'Sales_Detail'!$A$2:$A$289,"&gt;="&amp;'Cost_Assumptions'!$B$6,'Sales_Detail'!$A$2:$A$289,"&lt;="&amp;'Cost_Assumptions'!$B$7)</x:f>
        <x:v>27218.651922790705</x:v>
      </x:c>
      <x:c r="F62" s="26" t="n">
        <x:f>IF(D62=0,0,E62/D62)</x:f>
        <x:v>22.49475365519893</x:v>
      </x:c>
      <x:c r="G62" s="26" t="n">
        <x:f>SUMIFS('Sales_Detail'!$J$2:$J$289,'Sales_Detail'!$C$2:$C$289,A62,'Sales_Detail'!$D$2:$D$289,B62,'Sales_Detail'!$A$2:$A$289,"&gt;="&amp;'Cost_Assumptions'!$B$6,'Sales_Detail'!$A$2:$A$289,"&lt;="&amp;'Cost_Assumptions'!$B$7)</x:f>
        <x:v>2722.5</x:v>
      </x:c>
      <x:c r="H62" s="26" t="n">
        <x:f>SUMIFS('Sales_Detail'!$K$2:$K$289,'Sales_Detail'!$C$2:$C$289,A62,'Sales_Detail'!$D$2:$D$289,B62,'Sales_Detail'!$A$2:$A$289,"&gt;="&amp;'Cost_Assumptions'!$B$6,'Sales_Detail'!$A$2:$A$289,"&lt;="&amp;'Cost_Assumptions'!$B$7)</x:f>
        <x:v>707.6849499925582</x:v>
      </x:c>
      <x:c r="I62" s="26" t="n">
        <x:f>IFERROR(INDEX('SKU_Profitability'!$N$2:$N$25,MATCH(B62,'SKU_Profitability'!$A$2:$A$25,0)),0)</x:f>
        <x:v>11.342690230639999</x:v>
      </x:c>
      <x:c r="J62" s="26" t="n">
        <x:f>IFERROR(INDEX('SKU_Profitability'!$O$2:$O$25,MATCH(B62,'SKU_Profitability'!$A$2:$A$25,0)),0)+IFERROR(INDEX('SKU_Profitability'!$P$2:$P$25,MATCH(B62,'SKU_Profitability'!$A$2:$A$25,0)),0)</x:f>
        <x:v>1.5458124999999998</x:v>
      </x:c>
      <x:c r="K62" s="26" t="n">
        <x:f>E62-G62-H62-D62*(I62+J62)</x:f>
        <x:v>8193.378668723746</x:v>
      </x:c>
      <x:c r="L62" s="30" t="n">
        <x:f>IF(E62=0,0,K62/E62)</x:f>
        <x:v>0.3010207372490506</x:v>
      </x:c>
      <x:c r="M62" s="30" t="n">
        <x:f>IFERROR(INDEX('SKU_Profitability'!$AD$2:$AD$25,MATCH(B62,'SKU_Profitability'!$A$2:$A$25,0)),0)</x:f>
        <x:v>0.3</x:v>
      </x:c>
      <x:c r="N62" s="8" t="str">
        <x:f>IF(D62=0,"NO SALES",IF(K62&lt;=0,"IMMEDIATE REVIEW",IF(AND(E62&gt;0,G62/E62&gt;'Cost_Assumptions'!$B$15),"FREIGHT / CUSTOMER REVIEW",IF(L62&lt;M62,"PRICE / COST REVIEW","MONITOR"))))</x:f>
        <x:v>MONITOR</x:v>
      </x:c>
    </x:row>
    <x:row r="63">
      <x:c r="A63" s="6" t="str">
        <x:v>Sample Customer E</x:v>
      </x:c>
      <x:c r="B63" s="7" t="str">
        <x:v>FG-021</x:v>
      </x:c>
      <x:c r="C63" s="7" t="str">
        <x:f>IFERROR(INDEX('Product_Master'!$B$2:$B$25,MATCH(B63,'Product_Master'!$A$2:$A$25,0)),"")</x:f>
        <x:v>Flex Tan Product</x:v>
      </x:c>
      <x:c r="D63" s="24" t="n">
        <x:f>SUMIFS('Sales_Detail'!$E$2:$E$289,'Sales_Detail'!$C$2:$C$289,A63,'Sales_Detail'!$D$2:$D$289,B63,'Sales_Detail'!$A$2:$A$289,"&gt;="&amp;'Cost_Assumptions'!$B$6,'Sales_Detail'!$A$2:$A$289,"&lt;="&amp;'Cost_Assumptions'!$B$7)</x:f>
        <x:v>1040</x:v>
      </x:c>
      <x:c r="E63" s="26" t="n">
        <x:f>SUMIFS('Sales_Detail'!$I$2:$I$289,'Sales_Detail'!$C$2:$C$289,A63,'Sales_Detail'!$D$2:$D$289,B63,'Sales_Detail'!$A$2:$A$289,"&gt;="&amp;'Cost_Assumptions'!$B$6,'Sales_Detail'!$A$2:$A$289,"&lt;="&amp;'Cost_Assumptions'!$B$7)</x:f>
        <x:v>24077.51261030702</x:v>
      </x:c>
      <x:c r="F63" s="26" t="n">
        <x:f>IF(D63=0,0,E63/D63)</x:f>
        <x:v>23.15145443298752</x:v>
      </x:c>
      <x:c r="G63" s="26" t="n">
        <x:f>SUMIFS('Sales_Detail'!$J$2:$J$289,'Sales_Detail'!$C$2:$C$289,A63,'Sales_Detail'!$D$2:$D$289,B63,'Sales_Detail'!$A$2:$A$289,"&gt;="&amp;'Cost_Assumptions'!$B$6,'Sales_Detail'!$A$2:$A$289,"&lt;="&amp;'Cost_Assumptions'!$B$7)</x:f>
        <x:v>2761.2</x:v>
      </x:c>
      <x:c r="H63" s="26" t="n">
        <x:f>SUMIFS('Sales_Detail'!$K$2:$K$289,'Sales_Detail'!$C$2:$C$289,A63,'Sales_Detail'!$D$2:$D$289,B63,'Sales_Detail'!$A$2:$A$289,"&gt;="&amp;'Cost_Assumptions'!$B$6,'Sales_Detail'!$A$2:$A$289,"&lt;="&amp;'Cost_Assumptions'!$B$7)</x:f>
        <x:v>626.0153278679825</x:v>
      </x:c>
      <x:c r="I63" s="26" t="n">
        <x:f>IFERROR(INDEX('SKU_Profitability'!$N$2:$N$25,MATCH(B63,'SKU_Profitability'!$A$2:$A$25,0)),0)</x:f>
        <x:v>11.342690230639999</x:v>
      </x:c>
      <x:c r="J63" s="26" t="n">
        <x:f>IFERROR(INDEX('SKU_Profitability'!$O$2:$O$25,MATCH(B63,'SKU_Profitability'!$A$2:$A$25,0)),0)+IFERROR(INDEX('SKU_Profitability'!$P$2:$P$25,MATCH(B63,'SKU_Profitability'!$A$2:$A$25,0)),0)</x:f>
        <x:v>1.5458124999999998</x:v>
      </x:c>
      <x:c r="K63" s="26" t="n">
        <x:f>E63-G63-H63-D63*(I63+J63)</x:f>
        <x:v>7286.2544425734395</x:v>
      </x:c>
      <x:c r="L63" s="30" t="n">
        <x:f>IF(E63=0,0,K63/E63)</x:f>
        <x:v>0.30261657674116904</x:v>
      </x:c>
      <x:c r="M63" s="30" t="n">
        <x:f>IFERROR(INDEX('SKU_Profitability'!$AD$2:$AD$25,MATCH(B63,'SKU_Profitability'!$A$2:$A$25,0)),0)</x:f>
        <x:v>0.3</x:v>
      </x:c>
      <x:c r="N63" s="8" t="str">
        <x:f>IF(D63=0,"NO SALES",IF(K63&lt;=0,"IMMEDIATE REVIEW",IF(AND(E63&gt;0,G63/E63&gt;'Cost_Assumptions'!$B$15),"FREIGHT / CUSTOMER REVIEW",IF(L63&lt;M63,"PRICE / COST REVIEW","MONITOR"))))</x:f>
        <x:v>MONITOR</x:v>
      </x:c>
    </x:row>
    <x:row r="64">
      <x:c r="A64" s="6" t="str">
        <x:v>Sample Customer A</x:v>
      </x:c>
      <x:c r="B64" s="7" t="str">
        <x:v>FG-021</x:v>
      </x:c>
      <x:c r="C64" s="7" t="str">
        <x:f>IFERROR(INDEX('Product_Master'!$B$2:$B$25,MATCH(B64,'Product_Master'!$A$2:$A$25,0)),"")</x:f>
        <x:v>Flex Tan Product</x:v>
      </x:c>
      <x:c r="D64" s="24" t="n">
        <x:f>SUMIFS('Sales_Detail'!$E$2:$E$289,'Sales_Detail'!$C$2:$C$289,A64,'Sales_Detail'!$D$2:$D$289,B64,'Sales_Detail'!$A$2:$A$289,"&gt;="&amp;'Cost_Assumptions'!$B$6,'Sales_Detail'!$A$2:$A$289,"&lt;="&amp;'Cost_Assumptions'!$B$7)</x:f>
        <x:v>1120</x:v>
      </x:c>
      <x:c r="E64" s="26" t="n">
        <x:f>SUMIFS('Sales_Detail'!$I$2:$I$289,'Sales_Detail'!$C$2:$C$289,A64,'Sales_Detail'!$D$2:$D$289,B64,'Sales_Detail'!$A$2:$A$289,"&gt;="&amp;'Cost_Assumptions'!$B$6,'Sales_Detail'!$A$2:$A$289,"&lt;="&amp;'Cost_Assumptions'!$B$7)</x:f>
        <x:v>26752.523522306685</x:v>
      </x:c>
      <x:c r="F64" s="26" t="n">
        <x:f>IF(D64=0,0,E64/D64)</x:f>
        <x:v>23.886181716345256</x:v>
      </x:c>
      <x:c r="G64" s="26" t="n">
        <x:f>SUMIFS('Sales_Detail'!$J$2:$J$289,'Sales_Detail'!$C$2:$C$289,A64,'Sales_Detail'!$D$2:$D$289,B64,'Sales_Detail'!$A$2:$A$289,"&gt;="&amp;'Cost_Assumptions'!$B$6,'Sales_Detail'!$A$2:$A$289,"&lt;="&amp;'Cost_Assumptions'!$B$7)</x:f>
        <x:v>2520</x:v>
      </x:c>
      <x:c r="H64" s="26" t="n">
        <x:f>SUMIFS('Sales_Detail'!$K$2:$K$289,'Sales_Detail'!$C$2:$C$289,A64,'Sales_Detail'!$D$2:$D$289,B64,'Sales_Detail'!$A$2:$A$289,"&gt;="&amp;'Cost_Assumptions'!$B$6,'Sales_Detail'!$A$2:$A$289,"&lt;="&amp;'Cost_Assumptions'!$B$7)</x:f>
        <x:v>695.5656115799737</x:v>
      </x:c>
      <x:c r="I64" s="26" t="n">
        <x:f>IFERROR(INDEX('SKU_Profitability'!$N$2:$N$25,MATCH(B64,'SKU_Profitability'!$A$2:$A$25,0)),0)</x:f>
        <x:v>11.342690230639999</x:v>
      </x:c>
      <x:c r="J64" s="26" t="n">
        <x:f>IFERROR(INDEX('SKU_Profitability'!$O$2:$O$25,MATCH(B64,'SKU_Profitability'!$A$2:$A$25,0)),0)+IFERROR(INDEX('SKU_Profitability'!$P$2:$P$25,MATCH(B64,'SKU_Profitability'!$A$2:$A$25,0)),0)</x:f>
        <x:v>1.5458124999999998</x:v>
      </x:c>
      <x:c r="K64" s="26" t="n">
        <x:f>E64-G64-H64-D64*(I64+J64)</x:f>
        <x:v>9101.834852409913</x:v>
      </x:c>
      <x:c r="L64" s="30" t="n">
        <x:f>IF(E64=0,0,K64/E64)</x:f>
        <x:v>0.34022341274910595</x:v>
      </x:c>
      <x:c r="M64" s="30" t="n">
        <x:f>IFERROR(INDEX('SKU_Profitability'!$AD$2:$AD$25,MATCH(B64,'SKU_Profitability'!$A$2:$A$25,0)),0)</x:f>
        <x:v>0.3</x:v>
      </x:c>
      <x:c r="N64" s="8" t="str">
        <x:f>IF(D64=0,"NO SALES",IF(K64&lt;=0,"IMMEDIATE REVIEW",IF(AND(E64&gt;0,G64/E64&gt;'Cost_Assumptions'!$B$15),"FREIGHT / CUSTOMER REVIEW",IF(L64&lt;M64,"PRICE / COST REVIEW","MONITOR"))))</x:f>
        <x:v>MONITOR</x:v>
      </x:c>
    </x:row>
    <x:row r="65">
      <x:c r="A65" s="6" t="str">
        <x:v>Sample Customer D</x:v>
      </x:c>
      <x:c r="B65" s="7" t="str">
        <x:v>FG-022</x:v>
      </x:c>
      <x:c r="C65" s="7" t="str">
        <x:f>IFERROR(INDEX('Product_Master'!$B$2:$B$25,MATCH(B65,'Product_Master'!$A$2:$A$25,0)),"")</x:f>
        <x:v>Flex Blue Product</x:v>
      </x:c>
      <x:c r="D65" s="24" t="n">
        <x:f>SUMIFS('Sales_Detail'!$E$2:$E$289,'Sales_Detail'!$C$2:$C$289,A65,'Sales_Detail'!$D$2:$D$289,B65,'Sales_Detail'!$A$2:$A$289,"&gt;="&amp;'Cost_Assumptions'!$B$6,'Sales_Detail'!$A$2:$A$289,"&lt;="&amp;'Cost_Assumptions'!$B$7)</x:f>
        <x:v>1620</x:v>
      </x:c>
      <x:c r="E65" s="26" t="n">
        <x:f>SUMIFS('Sales_Detail'!$I$2:$I$289,'Sales_Detail'!$C$2:$C$289,A65,'Sales_Detail'!$D$2:$D$289,B65,'Sales_Detail'!$A$2:$A$289,"&gt;="&amp;'Cost_Assumptions'!$B$6,'Sales_Detail'!$A$2:$A$289,"&lt;="&amp;'Cost_Assumptions'!$B$7)</x:f>
        <x:v>44610.9708435658</x:v>
      </x:c>
      <x:c r="F65" s="26" t="n">
        <x:f>IF(D65=0,0,E65/D65)</x:f>
        <x:v>27.537636323188767</x:v>
      </x:c>
      <x:c r="G65" s="26" t="n">
        <x:f>SUMIFS('Sales_Detail'!$J$2:$J$289,'Sales_Detail'!$C$2:$C$289,A65,'Sales_Detail'!$D$2:$D$289,B65,'Sales_Detail'!$A$2:$A$289,"&gt;="&amp;'Cost_Assumptions'!$B$6,'Sales_Detail'!$A$2:$A$289,"&lt;="&amp;'Cost_Assumptions'!$B$7)</x:f>
        <x:v>5022</x:v>
      </x:c>
      <x:c r="H65" s="26" t="n">
        <x:f>SUMIFS('Sales_Detail'!$K$2:$K$289,'Sales_Detail'!$C$2:$C$289,A65,'Sales_Detail'!$D$2:$D$289,B65,'Sales_Detail'!$A$2:$A$289,"&gt;="&amp;'Cost_Assumptions'!$B$6,'Sales_Detail'!$A$2:$A$289,"&lt;="&amp;'Cost_Assumptions'!$B$7)</x:f>
        <x:v>802.9974751841845</x:v>
      </x:c>
      <x:c r="I65" s="26" t="n">
        <x:f>IFERROR(INDEX('SKU_Profitability'!$N$2:$N$25,MATCH(B65,'SKU_Profitability'!$A$2:$A$25,0)),0)</x:f>
        <x:v>12.175566862359998</x:v>
      </x:c>
      <x:c r="J65" s="26" t="n">
        <x:f>IFERROR(INDEX('SKU_Profitability'!$O$2:$O$25,MATCH(B65,'SKU_Profitability'!$A$2:$A$25,0)),0)+IFERROR(INDEX('SKU_Profitability'!$P$2:$P$25,MATCH(B65,'SKU_Profitability'!$A$2:$A$25,0)),0)</x:f>
        <x:v>0.5418452380952381</x:v>
      </x:c>
      <x:c r="K65" s="26" t="n">
        <x:f>E65-G65-H65-D65*(I65+J65)</x:f>
        <x:v>18183.765765644133</x:v>
      </x:c>
      <x:c r="L65" s="30" t="n">
        <x:f>IF(E65=0,0,K65/E65)</x:f>
        <x:v>0.40760748806404334</x:v>
      </x:c>
      <x:c r="M65" s="30" t="n">
        <x:f>IFERROR(INDEX('SKU_Profitability'!$AD$2:$AD$25,MATCH(B65,'SKU_Profitability'!$A$2:$A$25,0)),0)</x:f>
        <x:v>0.315</x:v>
      </x:c>
      <x:c r="N65" s="8" t="str">
        <x:f>IF(D65=0,"NO SALES",IF(K65&lt;=0,"IMMEDIATE REVIEW",IF(AND(E65&gt;0,G65/E65&gt;'Cost_Assumptions'!$B$15),"FREIGHT / CUSTOMER REVIEW",IF(L65&lt;M65,"PRICE / COST REVIEW","MONITOR"))))</x:f>
        <x:v>MONITOR</x:v>
      </x:c>
    </x:row>
    <x:row r="66">
      <x:c r="A66" s="6" t="str">
        <x:v>Sample Customer F</x:v>
      </x:c>
      <x:c r="B66" s="7" t="str">
        <x:v>FG-022</x:v>
      </x:c>
      <x:c r="C66" s="7" t="str">
        <x:f>IFERROR(INDEX('Product_Master'!$B$2:$B$25,MATCH(B66,'Product_Master'!$A$2:$A$25,0)),"")</x:f>
        <x:v>Flex Blue Product</x:v>
      </x:c>
      <x:c r="D66" s="24" t="n">
        <x:f>SUMIFS('Sales_Detail'!$E$2:$E$289,'Sales_Detail'!$C$2:$C$289,A66,'Sales_Detail'!$D$2:$D$289,B66,'Sales_Detail'!$A$2:$A$289,"&gt;="&amp;'Cost_Assumptions'!$B$6,'Sales_Detail'!$A$2:$A$289,"&lt;="&amp;'Cost_Assumptions'!$B$7)</x:f>
        <x:v>1750</x:v>
      </x:c>
      <x:c r="E66" s="26" t="n">
        <x:f>SUMIFS('Sales_Detail'!$I$2:$I$289,'Sales_Detail'!$C$2:$C$289,A66,'Sales_Detail'!$D$2:$D$289,B66,'Sales_Detail'!$A$2:$A$289,"&gt;="&amp;'Cost_Assumptions'!$B$6,'Sales_Detail'!$A$2:$A$289,"&lt;="&amp;'Cost_Assumptions'!$B$7)</x:f>
        <x:v>49788.33598340521</x:v>
      </x:c>
      <x:c r="F66" s="26" t="n">
        <x:f>IF(D66=0,0,E66/D66)</x:f>
        <x:v>28.450477704802978</x:v>
      </x:c>
      <x:c r="G66" s="26" t="n">
        <x:f>SUMIFS('Sales_Detail'!$J$2:$J$289,'Sales_Detail'!$C$2:$C$289,A66,'Sales_Detail'!$D$2:$D$289,B66,'Sales_Detail'!$A$2:$A$289,"&gt;="&amp;'Cost_Assumptions'!$B$6,'Sales_Detail'!$A$2:$A$289,"&lt;="&amp;'Cost_Assumptions'!$B$7)</x:f>
        <x:v>7323.75</x:v>
      </x:c>
      <x:c r="H66" s="26" t="n">
        <x:f>SUMIFS('Sales_Detail'!$K$2:$K$289,'Sales_Detail'!$C$2:$C$289,A66,'Sales_Detail'!$D$2:$D$289,B66,'Sales_Detail'!$A$2:$A$289,"&gt;="&amp;'Cost_Assumptions'!$B$6,'Sales_Detail'!$A$2:$A$289,"&lt;="&amp;'Cost_Assumptions'!$B$7)</x:f>
        <x:v>896.1900477012937</x:v>
      </x:c>
      <x:c r="I66" s="26" t="n">
        <x:f>IFERROR(INDEX('SKU_Profitability'!$N$2:$N$25,MATCH(B66,'SKU_Profitability'!$A$2:$A$25,0)),0)</x:f>
        <x:v>12.175566862359998</x:v>
      </x:c>
      <x:c r="J66" s="26" t="n">
        <x:f>IFERROR(INDEX('SKU_Profitability'!$O$2:$O$25,MATCH(B66,'SKU_Profitability'!$A$2:$A$25,0)),0)+IFERROR(INDEX('SKU_Profitability'!$P$2:$P$25,MATCH(B66,'SKU_Profitability'!$A$2:$A$25,0)),0)</x:f>
        <x:v>0.5418452380952381</x:v>
      </x:c>
      <x:c r="K66" s="26" t="n">
        <x:f>E66-G66-H66-D66*(I66+J66)</x:f>
        <x:v>19312.924759907248</x:v>
      </x:c>
      <x:c r="L66" s="30" t="n">
        <x:f>IF(E66=0,0,K66/E66)</x:f>
        <x:v>0.38790058712434927</x:v>
      </x:c>
      <x:c r="M66" s="30" t="n">
        <x:f>IFERROR(INDEX('SKU_Profitability'!$AD$2:$AD$25,MATCH(B66,'SKU_Profitability'!$A$2:$A$25,0)),0)</x:f>
        <x:v>0.315</x:v>
      </x:c>
      <x:c r="N66" s="8" t="str">
        <x:f>IF(D66=0,"NO SALES",IF(K66&lt;=0,"IMMEDIATE REVIEW",IF(AND(E66&gt;0,G66/E66&gt;'Cost_Assumptions'!$B$15),"FREIGHT / CUSTOMER REVIEW",IF(L66&lt;M66,"PRICE / COST REVIEW","MONITOR"))))</x:f>
        <x:v>MONITOR</x:v>
      </x:c>
    </x:row>
    <x:row r="67">
      <x:c r="A67" s="6" t="str">
        <x:v>Sample Customer B</x:v>
      </x:c>
      <x:c r="B67" s="7" t="str">
        <x:v>FG-022</x:v>
      </x:c>
      <x:c r="C67" s="7" t="str">
        <x:f>IFERROR(INDEX('Product_Master'!$B$2:$B$25,MATCH(B67,'Product_Master'!$A$2:$A$25,0)),"")</x:f>
        <x:v>Flex Blue Product</x:v>
      </x:c>
      <x:c r="D67" s="24" t="n">
        <x:f>SUMIFS('Sales_Detail'!$E$2:$E$289,'Sales_Detail'!$C$2:$C$289,A67,'Sales_Detail'!$D$2:$D$289,B67,'Sales_Detail'!$A$2:$A$289,"&gt;="&amp;'Cost_Assumptions'!$B$6,'Sales_Detail'!$A$2:$A$289,"&lt;="&amp;'Cost_Assumptions'!$B$7)</x:f>
        <x:v>1880</x:v>
      </x:c>
      <x:c r="E67" s="26" t="n">
        <x:f>SUMIFS('Sales_Detail'!$I$2:$I$289,'Sales_Detail'!$C$2:$C$289,A67,'Sales_Detail'!$D$2:$D$289,B67,'Sales_Detail'!$A$2:$A$289,"&gt;="&amp;'Cost_Assumptions'!$B$6,'Sales_Detail'!$A$2:$A$289,"&lt;="&amp;'Cost_Assumptions'!$B$7)</x:f>
        <x:v>55091.5050275805</x:v>
      </x:c>
      <x:c r="F67" s="26" t="n">
        <x:f>IF(D67=0,0,E67/D67)</x:f>
        <x:v>29.303992035947072</x:v>
      </x:c>
      <x:c r="G67" s="26" t="n">
        <x:f>SUMIFS('Sales_Detail'!$J$2:$J$289,'Sales_Detail'!$C$2:$C$289,A67,'Sales_Detail'!$D$2:$D$289,B67,'Sales_Detail'!$A$2:$A$289,"&gt;="&amp;'Cost_Assumptions'!$B$6,'Sales_Detail'!$A$2:$A$289,"&lt;="&amp;'Cost_Assumptions'!$B$7)</x:f>
        <x:v>5828</x:v>
      </x:c>
      <x:c r="H67" s="26" t="n">
        <x:f>SUMIFS('Sales_Detail'!$K$2:$K$289,'Sales_Detail'!$C$2:$C$289,A67,'Sales_Detail'!$D$2:$D$289,B67,'Sales_Detail'!$A$2:$A$289,"&gt;="&amp;'Cost_Assumptions'!$B$6,'Sales_Detail'!$A$2:$A$289,"&lt;="&amp;'Cost_Assumptions'!$B$7)</x:f>
        <x:v>991.6470904964488</x:v>
      </x:c>
      <x:c r="I67" s="26" t="n">
        <x:f>IFERROR(INDEX('SKU_Profitability'!$N$2:$N$25,MATCH(B67,'SKU_Profitability'!$A$2:$A$25,0)),0)</x:f>
        <x:v>12.175566862359998</x:v>
      </x:c>
      <x:c r="J67" s="26" t="n">
        <x:f>IFERROR(INDEX('SKU_Profitability'!$O$2:$O$25,MATCH(B67,'SKU_Profitability'!$A$2:$A$25,0)),0)+IFERROR(INDEX('SKU_Profitability'!$P$2:$P$25,MATCH(B67,'SKU_Profitability'!$A$2:$A$25,0)),0)</x:f>
        <x:v>0.5418452380952381</x:v>
      </x:c>
      <x:c r="K67" s="26" t="n">
        <x:f>E67-G67-H67-D67*(I67+J67)</x:f>
        <x:v>24363.1231882282</x:v>
      </x:c>
      <x:c r="L67" s="30" t="n">
        <x:f>IF(E67=0,0,K67/E67)</x:f>
        <x:v>0.4422301256070473</x:v>
      </x:c>
      <x:c r="M67" s="30" t="n">
        <x:f>IFERROR(INDEX('SKU_Profitability'!$AD$2:$AD$25,MATCH(B67,'SKU_Profitability'!$A$2:$A$25,0)),0)</x:f>
        <x:v>0.315</x:v>
      </x:c>
      <x:c r="N67" s="8" t="str">
        <x:f>IF(D67=0,"NO SALES",IF(K67&lt;=0,"IMMEDIATE REVIEW",IF(AND(E67&gt;0,G67/E67&gt;'Cost_Assumptions'!$B$15),"FREIGHT / CUSTOMER REVIEW",IF(L67&lt;M67,"PRICE / COST REVIEW","MONITOR"))))</x:f>
        <x:v>MONITOR</x:v>
      </x:c>
    </x:row>
    <x:row r="68">
      <x:c r="A68" s="6" t="str">
        <x:v>Sample Customer E</x:v>
      </x:c>
      <x:c r="B68" s="7" t="str">
        <x:v>FG-023</x:v>
      </x:c>
      <x:c r="C68" s="7" t="str">
        <x:f>IFERROR(INDEX('Product_Master'!$B$2:$B$25,MATCH(B68,'Product_Master'!$A$2:$A$25,0)),"")</x:f>
        <x:v>Flex Gray Product</x:v>
      </x:c>
      <x:c r="D68" s="24" t="n">
        <x:f>SUMIFS('Sales_Detail'!$E$2:$E$289,'Sales_Detail'!$C$2:$C$289,A68,'Sales_Detail'!$D$2:$D$289,B68,'Sales_Detail'!$A$2:$A$289,"&gt;="&amp;'Cost_Assumptions'!$B$6,'Sales_Detail'!$A$2:$A$289,"&lt;="&amp;'Cost_Assumptions'!$B$7)</x:f>
        <x:v>1100</x:v>
      </x:c>
      <x:c r="E68" s="26" t="n">
        <x:f>SUMIFS('Sales_Detail'!$I$2:$I$289,'Sales_Detail'!$C$2:$C$289,A68,'Sales_Detail'!$D$2:$D$289,B68,'Sales_Detail'!$A$2:$A$289,"&gt;="&amp;'Cost_Assumptions'!$B$6,'Sales_Detail'!$A$2:$A$289,"&lt;="&amp;'Cost_Assumptions'!$B$7)</x:f>
        <x:v>23892.744817183935</x:v>
      </x:c>
      <x:c r="F68" s="26" t="n">
        <x:f>IF(D68=0,0,E68/D68)</x:f>
        <x:v>21.72067710653085</x:v>
      </x:c>
      <x:c r="G68" s="26" t="n">
        <x:f>SUMIFS('Sales_Detail'!$J$2:$J$289,'Sales_Detail'!$C$2:$C$289,A68,'Sales_Detail'!$D$2:$D$289,B68,'Sales_Detail'!$A$2:$A$289,"&gt;="&amp;'Cost_Assumptions'!$B$6,'Sales_Detail'!$A$2:$A$289,"&lt;="&amp;'Cost_Assumptions'!$B$7)</x:f>
        <x:v>5127.1</x:v>
      </x:c>
      <x:c r="H68" s="26" t="n">
        <x:f>SUMIFS('Sales_Detail'!$K$2:$K$289,'Sales_Detail'!$C$2:$C$289,A68,'Sales_Detail'!$D$2:$D$289,B68,'Sales_Detail'!$A$2:$A$289,"&gt;="&amp;'Cost_Assumptions'!$B$6,'Sales_Detail'!$A$2:$A$289,"&lt;="&amp;'Cost_Assumptions'!$B$7)</x:f>
        <x:v>525.6403859780464</x:v>
      </x:c>
      <x:c r="I68" s="26" t="n">
        <x:f>IFERROR(INDEX('SKU_Profitability'!$N$2:$N$25,MATCH(B68,'SKU_Profitability'!$A$2:$A$25,0)),0)</x:f>
        <x:v>12.037169911</x:v>
      </x:c>
      <x:c r="J68" s="26" t="n">
        <x:f>IFERROR(INDEX('SKU_Profitability'!$O$2:$O$25,MATCH(B68,'SKU_Profitability'!$A$2:$A$25,0)),0)+IFERROR(INDEX('SKU_Profitability'!$P$2:$P$25,MATCH(B68,'SKU_Profitability'!$A$2:$A$25,0)),0)</x:f>
        <x:v>1.1780138888888891</x:v>
      </x:c>
      <x:c r="K68" s="26" t="n">
        <x:f>E68-G68-H68-D68*(I68+J68)</x:f>
        <x:v>3703.3022513281103</x:v>
      </x:c>
      <x:c r="L68" s="30" t="n">
        <x:f>IF(E68=0,0,K68/E68)</x:f>
        <x:v>0.1549969365036977</x:v>
      </x:c>
      <x:c r="M68" s="30" t="n">
        <x:f>IFERROR(INDEX('SKU_Profitability'!$AD$2:$AD$25,MATCH(B68,'SKU_Profitability'!$A$2:$A$25,0)),0)</x:f>
        <x:v>0.32999999999999996</x:v>
      </x:c>
      <x:c r="N68" s="8" t="str">
        <x:f>IF(D68=0,"NO SALES",IF(K68&lt;=0,"IMMEDIATE REVIEW",IF(AND(E68&gt;0,G68/E68&gt;'Cost_Assumptions'!$B$15),"FREIGHT / CUSTOMER REVIEW",IF(L68&lt;M68,"PRICE / COST REVIEW","MONITOR"))))</x:f>
        <x:v>FREIGHT / CUSTOMER REVIEW</x:v>
      </x:c>
    </x:row>
    <x:row r="69">
      <x:c r="A69" s="6" t="str">
        <x:v>Sample Customer A</x:v>
      </x:c>
      <x:c r="B69" s="7" t="str">
        <x:v>FG-023</x:v>
      </x:c>
      <x:c r="C69" s="7" t="str">
        <x:f>IFERROR(INDEX('Product_Master'!$B$2:$B$25,MATCH(B69,'Product_Master'!$A$2:$A$25,0)),"")</x:f>
        <x:v>Flex Gray Product</x:v>
      </x:c>
      <x:c r="D69" s="24" t="n">
        <x:f>SUMIFS('Sales_Detail'!$E$2:$E$289,'Sales_Detail'!$C$2:$C$289,A69,'Sales_Detail'!$D$2:$D$289,B69,'Sales_Detail'!$A$2:$A$289,"&gt;="&amp;'Cost_Assumptions'!$B$6,'Sales_Detail'!$A$2:$A$289,"&lt;="&amp;'Cost_Assumptions'!$B$7)</x:f>
        <x:v>1180</x:v>
      </x:c>
      <x:c r="E69" s="26" t="n">
        <x:f>SUMIFS('Sales_Detail'!$I$2:$I$289,'Sales_Detail'!$C$2:$C$289,A69,'Sales_Detail'!$D$2:$D$289,B69,'Sales_Detail'!$A$2:$A$289,"&gt;="&amp;'Cost_Assumptions'!$B$6,'Sales_Detail'!$A$2:$A$289,"&lt;="&amp;'Cost_Assumptions'!$B$7)</x:f>
        <x:v>26423.091737841645</x:v>
      </x:c>
      <x:c r="F69" s="26" t="n">
        <x:f>IF(D69=0,0,E69/D69)</x:f>
        <x:v>22.39245062528953</x:v>
      </x:c>
      <x:c r="G69" s="26" t="n">
        <x:f>SUMIFS('Sales_Detail'!$J$2:$J$289,'Sales_Detail'!$C$2:$C$289,A69,'Sales_Detail'!$D$2:$D$289,B69,'Sales_Detail'!$A$2:$A$289,"&gt;="&amp;'Cost_Assumptions'!$B$6,'Sales_Detail'!$A$2:$A$289,"&lt;="&amp;'Cost_Assumptions'!$B$7)</x:f>
        <x:v>4661</x:v>
      </x:c>
      <x:c r="H69" s="26" t="n">
        <x:f>SUMIFS('Sales_Detail'!$K$2:$K$289,'Sales_Detail'!$C$2:$C$289,A69,'Sales_Detail'!$D$2:$D$289,B69,'Sales_Detail'!$A$2:$A$289,"&gt;="&amp;'Cost_Assumptions'!$B$6,'Sales_Detail'!$A$2:$A$289,"&lt;="&amp;'Cost_Assumptions'!$B$7)</x:f>
        <x:v>581.3080182325161</x:v>
      </x:c>
      <x:c r="I69" s="26" t="n">
        <x:f>IFERROR(INDEX('SKU_Profitability'!$N$2:$N$25,MATCH(B69,'SKU_Profitability'!$A$2:$A$25,0)),0)</x:f>
        <x:v>12.037169911</x:v>
      </x:c>
      <x:c r="J69" s="26" t="n">
        <x:f>IFERROR(INDEX('SKU_Profitability'!$O$2:$O$25,MATCH(B69,'SKU_Profitability'!$A$2:$A$25,0)),0)+IFERROR(INDEX('SKU_Profitability'!$P$2:$P$25,MATCH(B69,'SKU_Profitability'!$A$2:$A$25,0)),0)</x:f>
        <x:v>1.1780138888888891</x:v>
      </x:c>
      <x:c r="K69" s="26" t="n">
        <x:f>E69-G69-H69-D69*(I69+J69)</x:f>
        <x:v>5586.8668357402385</x:v>
      </x:c>
      <x:c r="L69" s="30" t="n">
        <x:f>IF(E69=0,0,K69/E69)</x:f>
        <x:v>0.2114388009991672</x:v>
      </x:c>
      <x:c r="M69" s="30" t="n">
        <x:f>IFERROR(INDEX('SKU_Profitability'!$AD$2:$AD$25,MATCH(B69,'SKU_Profitability'!$A$2:$A$25,0)),0)</x:f>
        <x:v>0.32999999999999996</x:v>
      </x:c>
      <x:c r="N69" s="8" t="str">
        <x:f>IF(D69=0,"NO SALES",IF(K69&lt;=0,"IMMEDIATE REVIEW",IF(AND(E69&gt;0,G69/E69&gt;'Cost_Assumptions'!$B$15),"FREIGHT / CUSTOMER REVIEW",IF(L69&lt;M69,"PRICE / COST REVIEW","MONITOR"))))</x:f>
        <x:v>FREIGHT / CUSTOMER REVIEW</x:v>
      </x:c>
    </x:row>
    <x:row r="70">
      <x:c r="A70" s="6" t="str">
        <x:v>Sample Customer C</x:v>
      </x:c>
      <x:c r="B70" s="7" t="str">
        <x:v>FG-023</x:v>
      </x:c>
      <x:c r="C70" s="7" t="str">
        <x:f>IFERROR(INDEX('Product_Master'!$B$2:$B$25,MATCH(B70,'Product_Master'!$A$2:$A$25,0)),"")</x:f>
        <x:v>Flex Gray Product</x:v>
      </x:c>
      <x:c r="D70" s="24" t="n">
        <x:f>SUMIFS('Sales_Detail'!$E$2:$E$289,'Sales_Detail'!$C$2:$C$289,A70,'Sales_Detail'!$D$2:$D$289,B70,'Sales_Detail'!$A$2:$A$289,"&gt;="&amp;'Cost_Assumptions'!$B$6,'Sales_Detail'!$A$2:$A$289,"&lt;="&amp;'Cost_Assumptions'!$B$7)</x:f>
        <x:v>1020</x:v>
      </x:c>
      <x:c r="E70" s="26" t="n">
        <x:f>SUMIFS('Sales_Detail'!$I$2:$I$289,'Sales_Detail'!$C$2:$C$289,A70,'Sales_Detail'!$D$2:$D$289,B70,'Sales_Detail'!$A$2:$A$289,"&gt;="&amp;'Cost_Assumptions'!$B$6,'Sales_Detail'!$A$2:$A$289,"&lt;="&amp;'Cost_Assumptions'!$B$7)</x:f>
        <x:v>23485.539920434763</x:v>
      </x:c>
      <x:c r="F70" s="26" t="n">
        <x:f>IF(D70=0,0,E70/D70)</x:f>
        <x:v>23.02503913768114</x:v>
      </x:c>
      <x:c r="G70" s="26" t="n">
        <x:f>SUMIFS('Sales_Detail'!$J$2:$J$289,'Sales_Detail'!$C$2:$C$289,A70,'Sales_Detail'!$D$2:$D$289,B70,'Sales_Detail'!$A$2:$A$289,"&gt;="&amp;'Cost_Assumptions'!$B$6,'Sales_Detail'!$A$2:$A$289,"&lt;="&amp;'Cost_Assumptions'!$B$7)</x:f>
        <x:v>4029</x:v>
      </x:c>
      <x:c r="H70" s="26" t="n">
        <x:f>SUMIFS('Sales_Detail'!$K$2:$K$289,'Sales_Detail'!$C$2:$C$289,A70,'Sales_Detail'!$D$2:$D$289,B70,'Sales_Detail'!$A$2:$A$289,"&gt;="&amp;'Cost_Assumptions'!$B$6,'Sales_Detail'!$A$2:$A$289,"&lt;="&amp;'Cost_Assumptions'!$B$7)</x:f>
        <x:v>516.6818782495648</x:v>
      </x:c>
      <x:c r="I70" s="26" t="n">
        <x:f>IFERROR(INDEX('SKU_Profitability'!$N$2:$N$25,MATCH(B70,'SKU_Profitability'!$A$2:$A$25,0)),0)</x:f>
        <x:v>12.037169911</x:v>
      </x:c>
      <x:c r="J70" s="26" t="n">
        <x:f>IFERROR(INDEX('SKU_Profitability'!$O$2:$O$25,MATCH(B70,'SKU_Profitability'!$A$2:$A$25,0)),0)+IFERROR(INDEX('SKU_Profitability'!$P$2:$P$25,MATCH(B70,'SKU_Profitability'!$A$2:$A$25,0)),0)</x:f>
        <x:v>1.1780138888888891</x:v>
      </x:c>
      <x:c r="K70" s="26" t="n">
        <x:f>E70-G70-H70-D70*(I70+J70)</x:f>
        <x:v>5460.370566298532</x:v>
      </x:c>
      <x:c r="L70" s="30" t="n">
        <x:f>IF(E70=0,0,K70/E70)</x:f>
        <x:v>0.23249925634230215</x:v>
      </x:c>
      <x:c r="M70" s="30" t="n">
        <x:f>IFERROR(INDEX('SKU_Profitability'!$AD$2:$AD$25,MATCH(B70,'SKU_Profitability'!$A$2:$A$25,0)),0)</x:f>
        <x:v>0.32999999999999996</x:v>
      </x:c>
      <x:c r="N70" s="8" t="str">
        <x:f>IF(D70=0,"NO SALES",IF(K70&lt;=0,"IMMEDIATE REVIEW",IF(AND(E70&gt;0,G70/E70&gt;'Cost_Assumptions'!$B$15),"FREIGHT / CUSTOMER REVIEW",IF(L70&lt;M70,"PRICE / COST REVIEW","MONITOR"))))</x:f>
        <x:v>FREIGHT / CUSTOMER REVIEW</x:v>
      </x:c>
    </x:row>
    <x:row r="71">
      <x:c r="A71" s="6" t="str">
        <x:v>Sample Customer F</x:v>
      </x:c>
      <x:c r="B71" s="7" t="str">
        <x:v>FG-024</x:v>
      </x:c>
      <x:c r="C71" s="7" t="str">
        <x:f>IFERROR(INDEX('Product_Master'!$B$2:$B$25,MATCH(B71,'Product_Master'!$A$2:$A$25,0)),"")</x:f>
        <x:v>Flex Red Product</x:v>
      </x:c>
      <x:c r="D71" s="24" t="n">
        <x:f>SUMIFS('Sales_Detail'!$E$2:$E$289,'Sales_Detail'!$C$2:$C$289,A71,'Sales_Detail'!$D$2:$D$289,B71,'Sales_Detail'!$A$2:$A$289,"&gt;="&amp;'Cost_Assumptions'!$B$6,'Sales_Detail'!$A$2:$A$289,"&lt;="&amp;'Cost_Assumptions'!$B$7)</x:f>
        <x:v>600</x:v>
      </x:c>
      <x:c r="E71" s="26" t="n">
        <x:f>SUMIFS('Sales_Detail'!$I$2:$I$289,'Sales_Detail'!$C$2:$C$289,A71,'Sales_Detail'!$D$2:$D$289,B71,'Sales_Detail'!$A$2:$A$289,"&gt;="&amp;'Cost_Assumptions'!$B$6,'Sales_Detail'!$A$2:$A$289,"&lt;="&amp;'Cost_Assumptions'!$B$7)</x:f>
        <x:v>15119.05722496242</x:v>
      </x:c>
      <x:c r="F71" s="26" t="n">
        <x:f>IF(D71=0,0,E71/D71)</x:f>
        <x:v>25.1984287082707</x:v>
      </x:c>
      <x:c r="G71" s="26" t="n">
        <x:f>SUMIFS('Sales_Detail'!$J$2:$J$289,'Sales_Detail'!$C$2:$C$289,A71,'Sales_Detail'!$D$2:$D$289,B71,'Sales_Detail'!$A$2:$A$289,"&gt;="&amp;'Cost_Assumptions'!$B$6,'Sales_Detail'!$A$2:$A$289,"&lt;="&amp;'Cost_Assumptions'!$B$7)</x:f>
        <x:v>3888</x:v>
      </x:c>
      <x:c r="H71" s="26" t="n">
        <x:f>SUMIFS('Sales_Detail'!$K$2:$K$289,'Sales_Detail'!$C$2:$C$289,A71,'Sales_Detail'!$D$2:$D$289,B71,'Sales_Detail'!$A$2:$A$289,"&gt;="&amp;'Cost_Assumptions'!$B$6,'Sales_Detail'!$A$2:$A$289,"&lt;="&amp;'Cost_Assumptions'!$B$7)</x:f>
        <x:v>393.0954878490229</x:v>
      </x:c>
      <x:c r="I71" s="26" t="n">
        <x:f>IFERROR(INDEX('SKU_Profitability'!$N$2:$N$25,MATCH(B71,'SKU_Profitability'!$A$2:$A$25,0)),0)</x:f>
        <x:v>12.917336436300001</x:v>
      </x:c>
      <x:c r="J71" s="26" t="n">
        <x:f>IFERROR(INDEX('SKU_Profitability'!$O$2:$O$25,MATCH(B71,'SKU_Profitability'!$A$2:$A$25,0)),0)+IFERROR(INDEX('SKU_Profitability'!$P$2:$P$25,MATCH(B71,'SKU_Profitability'!$A$2:$A$25,0)),0)</x:f>
        <x:v>1.18475</x:v>
      </x:c>
      <x:c r="K71" s="26" t="n">
        <x:f>E71-G71-H71-D71*(I71+J71)</x:f>
        <x:v>2376.7098753333976</x:v>
      </x:c>
      <x:c r="L71" s="30" t="n">
        <x:f>IF(E71=0,0,K71/E71)</x:f>
        <x:v>0.15719960841270678</x:v>
      </x:c>
      <x:c r="M71" s="30" t="n">
        <x:f>IFERROR(INDEX('SKU_Profitability'!$AD$2:$AD$25,MATCH(B71,'SKU_Profitability'!$A$2:$A$25,0)),0)</x:f>
        <x:v>0.345</x:v>
      </x:c>
      <x:c r="N71" s="8" t="str">
        <x:f>IF(D71=0,"NO SALES",IF(K71&lt;=0,"IMMEDIATE REVIEW",IF(AND(E71&gt;0,G71/E71&gt;'Cost_Assumptions'!$B$15),"FREIGHT / CUSTOMER REVIEW",IF(L71&lt;M71,"PRICE / COST REVIEW","MONITOR"))))</x:f>
        <x:v>FREIGHT / CUSTOMER REVIEW</x:v>
      </x:c>
    </x:row>
    <x:row r="72">
      <x:c r="A72" s="6" t="str">
        <x:v>Sample Customer B</x:v>
      </x:c>
      <x:c r="B72" s="7" t="str">
        <x:v>FG-024</x:v>
      </x:c>
      <x:c r="C72" s="7" t="str">
        <x:f>IFERROR(INDEX('Product_Master'!$B$2:$B$25,MATCH(B72,'Product_Master'!$A$2:$A$25,0)),"")</x:f>
        <x:v>Flex Red Product</x:v>
      </x:c>
      <x:c r="D72" s="24" t="n">
        <x:f>SUMIFS('Sales_Detail'!$E$2:$E$289,'Sales_Detail'!$C$2:$C$289,A72,'Sales_Detail'!$D$2:$D$289,B72,'Sales_Detail'!$A$2:$A$289,"&gt;="&amp;'Cost_Assumptions'!$B$6,'Sales_Detail'!$A$2:$A$289,"&lt;="&amp;'Cost_Assumptions'!$B$7)</x:f>
        <x:v>520</x:v>
      </x:c>
      <x:c r="E72" s="26" t="n">
        <x:f>SUMIFS('Sales_Detail'!$I$2:$I$289,'Sales_Detail'!$C$2:$C$289,A72,'Sales_Detail'!$D$2:$D$289,B72,'Sales_Detail'!$A$2:$A$289,"&gt;="&amp;'Cost_Assumptions'!$B$6,'Sales_Detail'!$A$2:$A$289,"&lt;="&amp;'Cost_Assumptions'!$B$7)</x:f>
        <x:v>13479.242315482052</x:v>
      </x:c>
      <x:c r="F72" s="26" t="n">
        <x:f>IF(D72=0,0,E72/D72)</x:f>
        <x:v>25.921619837465485</x:v>
      </x:c>
      <x:c r="G72" s="26" t="n">
        <x:f>SUMIFS('Sales_Detail'!$J$2:$J$289,'Sales_Detail'!$C$2:$C$289,A72,'Sales_Detail'!$D$2:$D$289,B72,'Sales_Detail'!$A$2:$A$289,"&gt;="&amp;'Cost_Assumptions'!$B$6,'Sales_Detail'!$A$2:$A$289,"&lt;="&amp;'Cost_Assumptions'!$B$7)</x:f>
        <x:v>2496</x:v>
      </x:c>
      <x:c r="H72" s="26" t="n">
        <x:f>SUMIFS('Sales_Detail'!$K$2:$K$289,'Sales_Detail'!$C$2:$C$289,A72,'Sales_Detail'!$D$2:$D$289,B72,'Sales_Detail'!$A$2:$A$289,"&gt;="&amp;'Cost_Assumptions'!$B$6,'Sales_Detail'!$A$2:$A$289,"&lt;="&amp;'Cost_Assumptions'!$B$7)</x:f>
        <x:v>350.46030020253335</x:v>
      </x:c>
      <x:c r="I72" s="26" t="n">
        <x:f>IFERROR(INDEX('SKU_Profitability'!$N$2:$N$25,MATCH(B72,'SKU_Profitability'!$A$2:$A$25,0)),0)</x:f>
        <x:v>12.917336436300001</x:v>
      </x:c>
      <x:c r="J72" s="26" t="n">
        <x:f>IFERROR(INDEX('SKU_Profitability'!$O$2:$O$25,MATCH(B72,'SKU_Profitability'!$A$2:$A$25,0)),0)+IFERROR(INDEX('SKU_Profitability'!$P$2:$P$25,MATCH(B72,'SKU_Profitability'!$A$2:$A$25,0)),0)</x:f>
        <x:v>1.18475</x:v>
      </x:c>
      <x:c r="K72" s="26" t="n">
        <x:f>E72-G72-H72-D72*(I72+J72)</x:f>
        <x:v>3299.697068403517</x:v>
      </x:c>
      <x:c r="L72" s="30" t="n">
        <x:f>IF(E72=0,0,K72/E72)</x:f>
        <x:v>0.24479840863262287</x:v>
      </x:c>
      <x:c r="M72" s="30" t="n">
        <x:f>IFERROR(INDEX('SKU_Profitability'!$AD$2:$AD$25,MATCH(B72,'SKU_Profitability'!$A$2:$A$25,0)),0)</x:f>
        <x:v>0.345</x:v>
      </x:c>
      <x:c r="N72" s="8" t="str">
        <x:f>IF(D72=0,"NO SALES",IF(K72&lt;=0,"IMMEDIATE REVIEW",IF(AND(E72&gt;0,G72/E72&gt;'Cost_Assumptions'!$B$15),"FREIGHT / CUSTOMER REVIEW",IF(L72&lt;M72,"PRICE / COST REVIEW","MONITOR"))))</x:f>
        <x:v>FREIGHT / CUSTOMER REVIEW</x:v>
      </x:c>
    </x:row>
    <x:row r="73">
      <x:c r="A73" s="9" t="str">
        <x:v>Sample Customer D</x:v>
      </x:c>
      <x:c r="B73" s="10" t="str">
        <x:v>FG-024</x:v>
      </x:c>
      <x:c r="C73" s="10" t="str">
        <x:f>IFERROR(INDEX('Product_Master'!$B$2:$B$25,MATCH(B73,'Product_Master'!$A$2:$A$25,0)),"")</x:f>
        <x:v>Flex Red Product</x:v>
      </x:c>
      <x:c r="D73" s="25" t="n">
        <x:f>SUMIFS('Sales_Detail'!$E$2:$E$289,'Sales_Detail'!$C$2:$C$289,A73,'Sales_Detail'!$D$2:$D$289,B73,'Sales_Detail'!$A$2:$A$289,"&gt;="&amp;'Cost_Assumptions'!$B$6,'Sales_Detail'!$A$2:$A$289,"&lt;="&amp;'Cost_Assumptions'!$B$7)</x:f>
        <x:v>560</x:v>
      </x:c>
      <x:c r="E73" s="28" t="n">
        <x:f>SUMIFS('Sales_Detail'!$I$2:$I$289,'Sales_Detail'!$C$2:$C$289,A73,'Sales_Detail'!$D$2:$D$289,B73,'Sales_Detail'!$A$2:$A$289,"&gt;="&amp;'Cost_Assumptions'!$B$6,'Sales_Detail'!$A$2:$A$289,"&lt;="&amp;'Cost_Assumptions'!$B$7)</x:f>
        <x:v>14983.972864876847</x:v>
      </x:c>
      <x:c r="F73" s="28" t="n">
        <x:f>IF(D73=0,0,E73/D73)</x:f>
        <x:v>26.757094401565798</x:v>
      </x:c>
      <x:c r="G73" s="28" t="n">
        <x:f>SUMIFS('Sales_Detail'!$J$2:$J$289,'Sales_Detail'!$C$2:$C$289,A73,'Sales_Detail'!$D$2:$D$289,B73,'Sales_Detail'!$A$2:$A$289,"&gt;="&amp;'Cost_Assumptions'!$B$6,'Sales_Detail'!$A$2:$A$289,"&lt;="&amp;'Cost_Assumptions'!$B$7)</x:f>
        <x:v>2688</x:v>
      </x:c>
      <x:c r="H73" s="28" t="n">
        <x:f>SUMIFS('Sales_Detail'!$K$2:$K$289,'Sales_Detail'!$C$2:$C$289,A73,'Sales_Detail'!$D$2:$D$289,B73,'Sales_Detail'!$A$2:$A$289,"&gt;="&amp;'Cost_Assumptions'!$B$6,'Sales_Detail'!$A$2:$A$289,"&lt;="&amp;'Cost_Assumptions'!$B$7)</x:f>
        <x:v>389.5832944867981</x:v>
      </x:c>
      <x:c r="I73" s="28" t="n">
        <x:f>IFERROR(INDEX('SKU_Profitability'!$N$2:$N$25,MATCH(B73,'SKU_Profitability'!$A$2:$A$25,0)),0)</x:f>
        <x:v>12.917336436300001</x:v>
      </x:c>
      <x:c r="J73" s="28" t="n">
        <x:f>IFERROR(INDEX('SKU_Profitability'!$O$2:$O$25,MATCH(B73,'SKU_Profitability'!$A$2:$A$25,0)),0)+IFERROR(INDEX('SKU_Profitability'!$P$2:$P$25,MATCH(B73,'SKU_Profitability'!$A$2:$A$25,0)),0)</x:f>
        <x:v>1.18475</x:v>
      </x:c>
      <x:c r="K73" s="28" t="n">
        <x:f>E73-G73-H73-D73*(I73+J73)</x:f>
        <x:v>4009.2211660620487</x:v>
      </x:c>
      <x:c r="L73" s="31" t="n">
        <x:f>IF(E73=0,0,K73/E73)</x:f>
        <x:v>0.26756730022248343</x:v>
      </x:c>
      <x:c r="M73" s="31" t="n">
        <x:f>IFERROR(INDEX('SKU_Profitability'!$AD$2:$AD$25,MATCH(B73,'SKU_Profitability'!$A$2:$A$25,0)),0)</x:f>
        <x:v>0.345</x:v>
      </x:c>
      <x:c r="N73" s="11" t="str">
        <x:f>IF(D73=0,"NO SALES",IF(K73&lt;=0,"IMMEDIATE REVIEW",IF(AND(E73&gt;0,G73/E73&gt;'Cost_Assumptions'!$B$15),"FREIGHT / CUSTOMER REVIEW",IF(L73&lt;M73,"PRICE / COST REVIEW","MONITOR"))))</x:f>
        <x:v>FREIGHT / CUSTOMER REVIEW</x:v>
      </x:c>
    </x:row>
  </x:sheetData>
  <x:conditionalFormatting sqref="K2:K73">
    <x:cfRule type="cellIs" dxfId="4" priority="1" operator="lessThan">
      <x:formula>0</x:formula>
    </x:cfRule>
  </x:conditionalFormatting>
  <x:pageMargins left="0.7" right="0.7" top="0.75" bottom="0.75" header="0.3" footer="0.3"/>
  <x:tableParts count="1">
    <x:tablePart xmlns:r="http://schemas.openxmlformats.org/officeDocument/2006/relationships" r:id="Rd62359ab375e4b1d"/>
  </x:tableParts>
</x:worksheet>
</file>

<file path=xl/worksheets/sheet9.xml><?xml version="1.0" encoding="utf-8"?>
<x:worksheet xmlns:x="http://schemas.openxmlformats.org/spreadsheetml/2006/main">
  <x:sheetViews>
    <x:sheetView showGridLines="0" workbookViewId="0"/>
  </x:sheetViews>
  <x:sheetFormatPr defaultRowHeight="15"/>
  <x:cols>
    <x:col min="1" max="1" width="13" hidden="0" customWidth="1"/>
    <x:col min="2" max="2" width="11" hidden="0" customWidth="1"/>
    <x:col min="3" max="3" width="25" hidden="0" customWidth="1"/>
    <x:col min="4" max="4" width="16" hidden="0" customWidth="1"/>
    <x:col min="5" max="5" width="15" hidden="0" customWidth="1"/>
    <x:col min="6" max="6" width="12" hidden="0" customWidth="1"/>
    <x:col min="7" max="7" width="12" hidden="0" customWidth="1"/>
    <x:col min="8" max="8" width="14" hidden="0" customWidth="1"/>
    <x:col min="9" max="9" width="17" hidden="0" customWidth="1"/>
    <x:col min="10" max="10" width="12" hidden="0" customWidth="1"/>
    <x:col min="11" max="11" width="27" hidden="0" customWidth="1"/>
    <x:col min="12" max="12" width="21" hidden="0" customWidth="1"/>
    <x:col min="13" max="13" width="22" hidden="0" customWidth="1"/>
    <x:col min="14" max="14" width="58" hidden="0" customWidth="1"/>
  </x:cols>
  <x:sheetData>
    <x:row r="1" ht="30" customHeight="1">
      <x:c r="A1" s="20" t="str">
        <x:v>Priority Rank</x:v>
      </x:c>
      <x:c r="B1" s="21" t="str">
        <x:v>SKU</x:v>
      </x:c>
      <x:c r="C1" s="21" t="str">
        <x:v>Description</x:v>
      </x:c>
      <x:c r="D1" s="21" t="str">
        <x:v>Product Family</x:v>
      </x:c>
      <x:c r="E1" s="21" t="str">
        <x:v>Production Line</x:v>
      </x:c>
      <x:c r="F1" s="21" t="str">
        <x:v>Strategic?</x:v>
      </x:c>
      <x:c r="G1" s="21" t="str">
        <x:v>Units</x:v>
      </x:c>
      <x:c r="H1" s="21" t="str">
        <x:v>Net Sales</x:v>
      </x:c>
      <x:c r="I1" s="21" t="str">
        <x:v>Contribution $</x:v>
      </x:c>
      <x:c r="J1" s="21" t="str">
        <x:v>CM %</x:v>
      </x:c>
      <x:c r="K1" s="21" t="str">
        <x:v>Contribution / Constrained Hr</x:v>
      </x:c>
      <x:c r="L1" s="21" t="str">
        <x:v>Estimated Opportunity</x:v>
      </x:c>
      <x:c r="M1" s="21" t="str">
        <x:v>Recommended Review</x:v>
      </x:c>
      <x:c r="N1" s="21" t="str">
        <x:v>Primary Management Question</x:v>
      </x:c>
    </x:row>
    <x:row r="2">
      <x:c r="A2" s="95" t="n">
        <x:v>1</x:v>
      </x:c>
      <x:c r="B2" s="7" t="str">
        <x:f>INDEX('SKU_Profitability'!$A$2:$A$25,MATCH(A2,'SKU_Profitability'!$AL$2:$AL$25,0))</x:f>
        <x:v>FG-024</x:v>
      </x:c>
      <x:c r="C2" s="7" t="str">
        <x:f>INDEX('SKU_Profitability'!$B$2:$B$25,MATCH(A2,'SKU_Profitability'!$AL$2:$AL$25,0))</x:f>
        <x:v>Flex Red Product</x:v>
      </x:c>
      <x:c r="D2" s="7" t="str">
        <x:f>INDEX('SKU_Profitability'!$C$2:$C$25,MATCH(A2,'SKU_Profitability'!$AL$2:$AL$25,0))</x:f>
        <x:v>Flex</x:v>
      </x:c>
      <x:c r="E2" s="7" t="str">
        <x:f>INDEX('SKU_Profitability'!$D$2:$D$25,MATCH(A2,'SKU_Profitability'!$AL$2:$AL$25,0))</x:f>
        <x:v>Line 2</x:v>
      </x:c>
      <x:c r="F2" s="7" t="str">
        <x:f>INDEX('SKU_Profitability'!$E$2:$E$25,MATCH(A2,'SKU_Profitability'!$AL$2:$AL$25,0))</x:f>
        <x:v>Yes</x:v>
      </x:c>
      <x:c r="G2" s="24" t="n">
        <x:f>INDEX('SKU_Profitability'!$F$2:$F$25,MATCH(A2,'SKU_Profitability'!$AL$2:$AL$25,0))</x:f>
        <x:v>1680</x:v>
      </x:c>
      <x:c r="H2" s="26" t="n">
        <x:f>INDEX('SKU_Profitability'!$J$2:$J$25,MATCH(A2,'SKU_Profitability'!$AL$2:$AL$25,0))</x:f>
        <x:v>43582.272405321324</x:v>
      </x:c>
      <x:c r="I2" s="26" t="n">
        <x:f>INDEX('SKU_Profitability'!$T$2:$T$25,MATCH(A2,'SKU_Profitability'!$AL$2:$AL$25,0))</x:f>
        <x:v>9685.628109798965</x:v>
      </x:c>
      <x:c r="J2" s="30" t="n">
        <x:f>INDEX('SKU_Profitability'!$U$2:$U$25,MATCH(A2,'SKU_Profitability'!$AL$2:$AL$25,0))</x:f>
        <x:v>0.22223779475565772</x:v>
      </x:c>
      <x:c r="K2" s="26" t="n">
        <x:f>INDEX('SKU_Profitability'!$W$2:$W$25,MATCH(A2,'SKU_Profitability'!$AL$2:$AL$25,0))</x:f>
        <x:v>226.5114151028757</x:v>
      </x:c>
      <x:c r="L2" s="26" t="n">
        <x:f>INDEX('SKU_Profitability'!$AG$2:$AG$25,MATCH(A2,'SKU_Profitability'!$AL$2:$AL$25,0))</x:f>
        <x:v>8505.971176529236</x:v>
      </x:c>
      <x:c r="M2" s="7" t="str">
        <x:f>INDEX('SKU_Profitability'!$AI$2:$AI$25,MATCH(A2,'SKU_Profitability'!$AL$2:$AL$25,0))</x:f>
        <x:v>STRATEGIC REVIEW</x:v>
      </x:c>
      <x:c r="N2" s="8" t="str">
        <x:f>IF(M2="DATA REVIEW","Which cost, time or sales input is missing?",IF(M2="STRATEGIC REVIEW","What customer or portfolio role justifies the economics?",IF(M2="IMMEDIATE REVIEW","Can price, cost or service terms eliminate the loss?",IF(M2="CAPACITY DRAG","Can throughput improve or constrained time shift to stronger work?",IF(M2="PRICE / COST REVIEW","Which price, material or conversion lever closes the gap?",IF(M2="BATCH / MOQ REVIEW","Can MOQ, campaign size or changeover time improve?",IF(M2="PROTECT &amp; GROW","How do we protect price while adding qualified volume?","Are mix and cost trends staying within target?")))))))</x:f>
        <x:v>What customer or portfolio role justifies the economics?</x:v>
      </x:c>
    </x:row>
    <x:row r="3">
      <x:c r="A3" s="95" t="n">
        <x:v>2</x:v>
      </x:c>
      <x:c r="B3" s="7" t="str">
        <x:f>INDEX('SKU_Profitability'!$A$2:$A$25,MATCH(A3,'SKU_Profitability'!$AL$2:$AL$25,0))</x:f>
        <x:v>FG-015</x:v>
      </x:c>
      <x:c r="C3" s="7" t="str">
        <x:f>INDEX('SKU_Profitability'!$B$2:$B$25,MATCH(A3,'SKU_Profitability'!$AL$2:$AL$25,0))</x:f>
        <x:v>Prime Tan Product</x:v>
      </x:c>
      <x:c r="D3" s="7" t="str">
        <x:f>INDEX('SKU_Profitability'!$C$2:$C$25,MATCH(A3,'SKU_Profitability'!$AL$2:$AL$25,0))</x:f>
        <x:v>Prime</x:v>
      </x:c>
      <x:c r="E3" s="7" t="str">
        <x:f>INDEX('SKU_Profitability'!$D$2:$D$25,MATCH(A3,'SKU_Profitability'!$AL$2:$AL$25,0))</x:f>
        <x:v>Line 1</x:v>
      </x:c>
      <x:c r="F3" s="7" t="str">
        <x:f>INDEX('SKU_Profitability'!$E$2:$E$25,MATCH(A3,'SKU_Profitability'!$AL$2:$AL$25,0))</x:f>
        <x:v>Yes</x:v>
      </x:c>
      <x:c r="G3" s="24" t="n">
        <x:f>INDEX('SKU_Profitability'!$F$2:$F$25,MATCH(A3,'SKU_Profitability'!$AL$2:$AL$25,0))</x:f>
        <x:v>1760</x:v>
      </x:c>
      <x:c r="H3" s="26" t="n">
        <x:f>INDEX('SKU_Profitability'!$J$2:$J$25,MATCH(A3,'SKU_Profitability'!$AL$2:$AL$25,0))</x:f>
        <x:v>40181.26917497741</x:v>
      </x:c>
      <x:c r="I3" s="26" t="n">
        <x:f>INDEX('SKU_Profitability'!$T$2:$T$25,MATCH(A3,'SKU_Profitability'!$AL$2:$AL$25,0))</x:f>
        <x:v>8712.46061677644</x:v>
      </x:c>
      <x:c r="J3" s="30" t="n">
        <x:f>INDEX('SKU_Profitability'!$U$2:$U$25,MATCH(A3,'SKU_Profitability'!$AL$2:$AL$25,0))</x:f>
        <x:v>0.21682890549913392</x:v>
      </x:c>
      <x:c r="K3" s="26" t="n">
        <x:f>INDEX('SKU_Profitability'!$W$2:$W$25,MATCH(A3,'SKU_Profitability'!$AL$2:$AL$25,0))</x:f>
        <x:v>153.76136471681693</x:v>
      </x:c>
      <x:c r="L3" s="26" t="n">
        <x:f>INDEX('SKU_Profitability'!$AG$2:$AG$25,MATCH(A3,'SKU_Profitability'!$AL$2:$AL$25,0))</x:f>
        <x:v>7061.11523441941</x:v>
      </x:c>
      <x:c r="M3" s="7" t="str">
        <x:f>INDEX('SKU_Profitability'!$AI$2:$AI$25,MATCH(A3,'SKU_Profitability'!$AL$2:$AL$25,0))</x:f>
        <x:v>STRATEGIC REVIEW</x:v>
      </x:c>
      <x:c r="N3" s="8" t="str">
        <x:f>IF(M3="DATA REVIEW","Which cost, time or sales input is missing?",IF(M3="STRATEGIC REVIEW","What customer or portfolio role justifies the economics?",IF(M3="IMMEDIATE REVIEW","Can price, cost or service terms eliminate the loss?",IF(M3="CAPACITY DRAG","Can throughput improve or constrained time shift to stronger work?",IF(M3="PRICE / COST REVIEW","Which price, material or conversion lever closes the gap?",IF(M3="BATCH / MOQ REVIEW","Can MOQ, campaign size or changeover time improve?",IF(M3="PROTECT &amp; GROW","How do we protect price while adding qualified volume?","Are mix and cost trends staying within target?")))))))</x:f>
        <x:v>What customer or portfolio role justifies the economics?</x:v>
      </x:c>
    </x:row>
    <x:row r="4">
      <x:c r="A4" s="95" t="n">
        <x:v>3</x:v>
      </x:c>
      <x:c r="B4" s="7" t="str">
        <x:f>INDEX('SKU_Profitability'!$A$2:$A$25,MATCH(A4,'SKU_Profitability'!$AL$2:$AL$25,0))</x:f>
        <x:v>FG-007</x:v>
      </x:c>
      <x:c r="C4" s="7" t="str">
        <x:f>INDEX('SKU_Profitability'!$B$2:$B$25,MATCH(A4,'SKU_Profitability'!$AL$2:$AL$25,0))</x:f>
        <x:v>Guard White Product</x:v>
      </x:c>
      <x:c r="D4" s="7" t="str">
        <x:f>INDEX('SKU_Profitability'!$C$2:$C$25,MATCH(A4,'SKU_Profitability'!$AL$2:$AL$25,0))</x:f>
        <x:v>Guard</x:v>
      </x:c>
      <x:c r="E4" s="7" t="str">
        <x:f>INDEX('SKU_Profitability'!$D$2:$D$25,MATCH(A4,'SKU_Profitability'!$AL$2:$AL$25,0))</x:f>
        <x:v>Line 2</x:v>
      </x:c>
      <x:c r="F4" s="7" t="str">
        <x:f>INDEX('SKU_Profitability'!$E$2:$E$25,MATCH(A4,'SKU_Profitability'!$AL$2:$AL$25,0))</x:f>
        <x:v>Yes</x:v>
      </x:c>
      <x:c r="G4" s="24" t="n">
        <x:f>INDEX('SKU_Profitability'!$F$2:$F$25,MATCH(A4,'SKU_Profitability'!$AL$2:$AL$25,0))</x:f>
        <x:v>1550</x:v>
      </x:c>
      <x:c r="H4" s="26" t="n">
        <x:f>INDEX('SKU_Profitability'!$J$2:$J$25,MATCH(A4,'SKU_Profitability'!$AL$2:$AL$25,0))</x:f>
        <x:v>27382.674157054593</x:v>
      </x:c>
      <x:c r="I4" s="26" t="n">
        <x:f>INDEX('SKU_Profitability'!$T$2:$T$25,MATCH(A4,'SKU_Profitability'!$AL$2:$AL$25,0))</x:f>
        <x:v>6103.889785394277</x:v>
      </x:c>
      <x:c r="J4" s="30" t="n">
        <x:f>INDEX('SKU_Profitability'!$U$2:$U$25,MATCH(A4,'SKU_Profitability'!$AL$2:$AL$25,0))</x:f>
        <x:v>0.2229106532979626</x:v>
      </x:c>
      <x:c r="K4" s="26" t="n">
        <x:f>INDEX('SKU_Profitability'!$W$2:$W$25,MATCH(A4,'SKU_Profitability'!$AL$2:$AL$25,0))</x:f>
        <x:v>185.31733693796667</x:v>
      </x:c>
      <x:c r="L4" s="26" t="n">
        <x:f>INDEX('SKU_Profitability'!$AG$2:$AG$25,MATCH(A4,'SKU_Profitability'!$AL$2:$AL$25,0))</x:f>
        <x:v>4497.534795143769</x:v>
      </x:c>
      <x:c r="M4" s="7" t="str">
        <x:f>INDEX('SKU_Profitability'!$AI$2:$AI$25,MATCH(A4,'SKU_Profitability'!$AL$2:$AL$25,0))</x:f>
        <x:v>STRATEGIC REVIEW</x:v>
      </x:c>
      <x:c r="N4" s="8" t="str">
        <x:f>IF(M4="DATA REVIEW","Which cost, time or sales input is missing?",IF(M4="STRATEGIC REVIEW","What customer or portfolio role justifies the economics?",IF(M4="IMMEDIATE REVIEW","Can price, cost or service terms eliminate the loss?",IF(M4="CAPACITY DRAG","Can throughput improve or constrained time shift to stronger work?",IF(M4="PRICE / COST REVIEW","Which price, material or conversion lever closes the gap?",IF(M4="BATCH / MOQ REVIEW","Can MOQ, campaign size or changeover time improve?",IF(M4="PROTECT &amp; GROW","How do we protect price while adding qualified volume?","Are mix and cost trends staying within target?")))))))</x:f>
        <x:v>What customer or portfolio role justifies the economics?</x:v>
      </x:c>
    </x:row>
    <x:row r="5">
      <x:c r="A5" s="95" t="n">
        <x:v>4</x:v>
      </x:c>
      <x:c r="B5" s="7" t="str">
        <x:f>INDEX('SKU_Profitability'!$A$2:$A$25,MATCH(A5,'SKU_Profitability'!$AL$2:$AL$25,0))</x:f>
        <x:v>FG-019</x:v>
      </x:c>
      <x:c r="C5" s="7" t="str">
        <x:f>INDEX('SKU_Profitability'!$B$2:$B$25,MATCH(A5,'SKU_Profitability'!$AL$2:$AL$25,0))</x:f>
        <x:v>Flex White Product</x:v>
      </x:c>
      <x:c r="D5" s="7" t="str">
        <x:f>INDEX('SKU_Profitability'!$C$2:$C$25,MATCH(A5,'SKU_Profitability'!$AL$2:$AL$25,0))</x:f>
        <x:v>Flex</x:v>
      </x:c>
      <x:c r="E5" s="7" t="str">
        <x:f>INDEX('SKU_Profitability'!$D$2:$D$25,MATCH(A5,'SKU_Profitability'!$AL$2:$AL$25,0))</x:f>
        <x:v>Line 2</x:v>
      </x:c>
      <x:c r="F5" s="7" t="str">
        <x:f>INDEX('SKU_Profitability'!$E$2:$E$25,MATCH(A5,'SKU_Profitability'!$AL$2:$AL$25,0))</x:f>
        <x:v>No</x:v>
      </x:c>
      <x:c r="G5" s="24" t="n">
        <x:f>INDEX('SKU_Profitability'!$F$2:$F$25,MATCH(A5,'SKU_Profitability'!$AL$2:$AL$25,0))</x:f>
        <x:v>1870</x:v>
      </x:c>
      <x:c r="H5" s="26" t="n">
        <x:f>INDEX('SKU_Profitability'!$J$2:$J$25,MATCH(A5,'SKU_Profitability'!$AL$2:$AL$25,0))</x:f>
        <x:v>33581.48005436372</x:v>
      </x:c>
      <x:c r="I5" s="26" t="n">
        <x:f>INDEX('SKU_Profitability'!$T$2:$T$25,MATCH(A5,'SKU_Profitability'!$AL$2:$AL$25,0))</x:f>
        <x:v>-1558.0325377324934</x:v>
      </x:c>
      <x:c r="J5" s="30" t="n">
        <x:f>INDEX('SKU_Profitability'!$U$2:$U$25,MATCH(A5,'SKU_Profitability'!$AL$2:$AL$25,0))</x:f>
        <x:v>-0.04639558873552496</x:v>
      </x:c>
      <x:c r="K5" s="26" t="n">
        <x:f>INDEX('SKU_Profitability'!$W$2:$W$25,MATCH(A5,'SKU_Profitability'!$AL$2:$AL$25,0))</x:f>
        <x:v>-31.739904002699127</x:v>
      </x:c>
      <x:c r="L5" s="26" t="n">
        <x:f>INDEX('SKU_Profitability'!$AG$2:$AG$25,MATCH(A5,'SKU_Profitability'!$AL$2:$AL$25,0))</x:f>
        <x:v>19386.381833853557</x:v>
      </x:c>
      <x:c r="M5" s="7" t="str">
        <x:f>INDEX('SKU_Profitability'!$AI$2:$AI$25,MATCH(A5,'SKU_Profitability'!$AL$2:$AL$25,0))</x:f>
        <x:v>IMMEDIATE REVIEW</x:v>
      </x:c>
      <x:c r="N5" s="8" t="str">
        <x:f>IF(M5="DATA REVIEW","Which cost, time or sales input is missing?",IF(M5="STRATEGIC REVIEW","What customer or portfolio role justifies the economics?",IF(M5="IMMEDIATE REVIEW","Can price, cost or service terms eliminate the loss?",IF(M5="CAPACITY DRAG","Can throughput improve or constrained time shift to stronger work?",IF(M5="PRICE / COST REVIEW","Which price, material or conversion lever closes the gap?",IF(M5="BATCH / MOQ REVIEW","Can MOQ, campaign size or changeover time improve?",IF(M5="PROTECT &amp; GROW","How do we protect price while adding qualified volume?","Are mix and cost trends staying within target?")))))))</x:f>
        <x:v>Can price, cost or service terms eliminate the loss?</x:v>
      </x:c>
    </x:row>
    <x:row r="6">
      <x:c r="A6" s="95" t="n">
        <x:v>5</x:v>
      </x:c>
      <x:c r="B6" s="7" t="str">
        <x:f>INDEX('SKU_Profitability'!$A$2:$A$25,MATCH(A6,'SKU_Profitability'!$AL$2:$AL$25,0))</x:f>
        <x:v>FG-008</x:v>
      </x:c>
      <x:c r="C6" s="7" t="str">
        <x:f>INDEX('SKU_Profitability'!$B$2:$B$25,MATCH(A6,'SKU_Profitability'!$AL$2:$AL$25,0))</x:f>
        <x:v>Guard Black Product</x:v>
      </x:c>
      <x:c r="D6" s="7" t="str">
        <x:f>INDEX('SKU_Profitability'!$C$2:$C$25,MATCH(A6,'SKU_Profitability'!$AL$2:$AL$25,0))</x:f>
        <x:v>Guard</x:v>
      </x:c>
      <x:c r="E6" s="7" t="str">
        <x:f>INDEX('SKU_Profitability'!$D$2:$D$25,MATCH(A6,'SKU_Profitability'!$AL$2:$AL$25,0))</x:f>
        <x:v>Line 2</x:v>
      </x:c>
      <x:c r="F6" s="7" t="str">
        <x:f>INDEX('SKU_Profitability'!$E$2:$E$25,MATCH(A6,'SKU_Profitability'!$AL$2:$AL$25,0))</x:f>
        <x:v>No</x:v>
      </x:c>
      <x:c r="G6" s="24" t="n">
        <x:f>INDEX('SKU_Profitability'!$F$2:$F$25,MATCH(A6,'SKU_Profitability'!$AL$2:$AL$25,0))</x:f>
        <x:v>1790</x:v>
      </x:c>
      <x:c r="H6" s="26" t="n">
        <x:f>INDEX('SKU_Profitability'!$J$2:$J$25,MATCH(A6,'SKU_Profitability'!$AL$2:$AL$25,0))</x:f>
        <x:v>27724.725279075254</x:v>
      </x:c>
      <x:c r="I6" s="26" t="n">
        <x:f>INDEX('SKU_Profitability'!$T$2:$T$25,MATCH(A6,'SKU_Profitability'!$AL$2:$AL$25,0))</x:f>
        <x:v>-1720.727528756306</x:v>
      </x:c>
      <x:c r="J6" s="30" t="n">
        <x:f>INDEX('SKU_Profitability'!$U$2:$U$25,MATCH(A6,'SKU_Profitability'!$AL$2:$AL$25,0))</x:f>
        <x:v>-0.06206472783537353</x:v>
      </x:c>
      <x:c r="K6" s="26" t="n">
        <x:f>INDEX('SKU_Profitability'!$W$2:$W$25,MATCH(A6,'SKU_Profitability'!$AL$2:$AL$25,0))</x:f>
        <x:v>-44.029021163110734</x:v>
      </x:c>
      <x:c r="L6" s="26" t="n">
        <x:f>INDEX('SKU_Profitability'!$AG$2:$AG$25,MATCH(A6,'SKU_Profitability'!$AL$2:$AL$25,0))</x:f>
        <x:v>17829.001184893</x:v>
      </x:c>
      <x:c r="M6" s="7" t="str">
        <x:f>INDEX('SKU_Profitability'!$AI$2:$AI$25,MATCH(A6,'SKU_Profitability'!$AL$2:$AL$25,0))</x:f>
        <x:v>IMMEDIATE REVIEW</x:v>
      </x:c>
      <x:c r="N6" s="8" t="str">
        <x:f>IF(M6="DATA REVIEW","Which cost, time or sales input is missing?",IF(M6="STRATEGIC REVIEW","What customer or portfolio role justifies the economics?",IF(M6="IMMEDIATE REVIEW","Can price, cost or service terms eliminate the loss?",IF(M6="CAPACITY DRAG","Can throughput improve or constrained time shift to stronger work?",IF(M6="PRICE / COST REVIEW","Which price, material or conversion lever closes the gap?",IF(M6="BATCH / MOQ REVIEW","Can MOQ, campaign size or changeover time improve?",IF(M6="PROTECT &amp; GROW","How do we protect price while adding qualified volume?","Are mix and cost trends staying within target?")))))))</x:f>
        <x:v>Can price, cost or service terms eliminate the loss?</x:v>
      </x:c>
    </x:row>
    <x:row r="7">
      <x:c r="A7" s="95" t="n">
        <x:v>6</x:v>
      </x:c>
      <x:c r="B7" s="7" t="str">
        <x:f>INDEX('SKU_Profitability'!$A$2:$A$25,MATCH(A7,'SKU_Profitability'!$AL$2:$AL$25,0))</x:f>
        <x:v>FG-001</x:v>
      </x:c>
      <x:c r="C7" s="7" t="str">
        <x:f>INDEX('SKU_Profitability'!$B$2:$B$25,MATCH(A7,'SKU_Profitability'!$AL$2:$AL$25,0))</x:f>
        <x:v>Shield White Product</x:v>
      </x:c>
      <x:c r="D7" s="7" t="str">
        <x:f>INDEX('SKU_Profitability'!$C$2:$C$25,MATCH(A7,'SKU_Profitability'!$AL$2:$AL$25,0))</x:f>
        <x:v>Shield</x:v>
      </x:c>
      <x:c r="E7" s="7" t="str">
        <x:f>INDEX('SKU_Profitability'!$D$2:$D$25,MATCH(A7,'SKU_Profitability'!$AL$2:$AL$25,0))</x:f>
        <x:v>Line 1</x:v>
      </x:c>
      <x:c r="F7" s="7" t="str">
        <x:f>INDEX('SKU_Profitability'!$E$2:$E$25,MATCH(A7,'SKU_Profitability'!$AL$2:$AL$25,0))</x:f>
        <x:v>No</x:v>
      </x:c>
      <x:c r="G7" s="24" t="n">
        <x:f>INDEX('SKU_Profitability'!$F$2:$F$25,MATCH(A7,'SKU_Profitability'!$AL$2:$AL$25,0))</x:f>
        <x:v>1620</x:v>
      </x:c>
      <x:c r="H7" s="26" t="n">
        <x:f>INDEX('SKU_Profitability'!$J$2:$J$25,MATCH(A7,'SKU_Profitability'!$AL$2:$AL$25,0))</x:f>
        <x:v>23338.849158026936</x:v>
      </x:c>
      <x:c r="I7" s="26" t="n">
        <x:f>INDEX('SKU_Profitability'!$T$2:$T$25,MATCH(A7,'SKU_Profitability'!$AL$2:$AL$25,0))</x:f>
        <x:v>-920.0757606575426</x:v>
      </x:c>
      <x:c r="J7" s="30" t="n">
        <x:f>INDEX('SKU_Profitability'!$U$2:$U$25,MATCH(A7,'SKU_Profitability'!$AL$2:$AL$25,0))</x:f>
        <x:v>-0.039422499131286454</x:v>
      </x:c>
      <x:c r="K7" s="26" t="n">
        <x:f>INDEX('SKU_Profitability'!$W$2:$W$25,MATCH(A7,'SKU_Profitability'!$AL$2:$AL$25,0))</x:f>
        <x:v>-20.193706681098327</x:v>
      </x:c>
      <x:c r="L7" s="26" t="n">
        <x:f>INDEX('SKU_Profitability'!$AG$2:$AG$25,MATCH(A7,'SKU_Profitability'!$AL$2:$AL$25,0))</x:f>
        <x:v>11615.44062766221</x:v>
      </x:c>
      <x:c r="M7" s="7" t="str">
        <x:f>INDEX('SKU_Profitability'!$AI$2:$AI$25,MATCH(A7,'SKU_Profitability'!$AL$2:$AL$25,0))</x:f>
        <x:v>IMMEDIATE REVIEW</x:v>
      </x:c>
      <x:c r="N7" s="8" t="str">
        <x:f>IF(M7="DATA REVIEW","Which cost, time or sales input is missing?",IF(M7="STRATEGIC REVIEW","What customer or portfolio role justifies the economics?",IF(M7="IMMEDIATE REVIEW","Can price, cost or service terms eliminate the loss?",IF(M7="CAPACITY DRAG","Can throughput improve or constrained time shift to stronger work?",IF(M7="PRICE / COST REVIEW","Which price, material or conversion lever closes the gap?",IF(M7="BATCH / MOQ REVIEW","Can MOQ, campaign size or changeover time improve?",IF(M7="PROTECT &amp; GROW","How do we protect price while adding qualified volume?","Are mix and cost trends staying within target?")))))))</x:f>
        <x:v>Can price, cost or service terms eliminate the loss?</x:v>
      </x:c>
    </x:row>
    <x:row r="8">
      <x:c r="A8" s="95" t="n">
        <x:v>7</x:v>
      </x:c>
      <x:c r="B8" s="7" t="str">
        <x:f>INDEX('SKU_Profitability'!$A$2:$A$25,MATCH(A8,'SKU_Profitability'!$AL$2:$AL$25,0))</x:f>
        <x:v>FG-023</x:v>
      </x:c>
      <x:c r="C8" s="7" t="str">
        <x:f>INDEX('SKU_Profitability'!$B$2:$B$25,MATCH(A8,'SKU_Profitability'!$AL$2:$AL$25,0))</x:f>
        <x:v>Flex Gray Product</x:v>
      </x:c>
      <x:c r="D8" s="7" t="str">
        <x:f>INDEX('SKU_Profitability'!$C$2:$C$25,MATCH(A8,'SKU_Profitability'!$AL$2:$AL$25,0))</x:f>
        <x:v>Flex</x:v>
      </x:c>
      <x:c r="E8" s="7" t="str">
        <x:f>INDEX('SKU_Profitability'!$D$2:$D$25,MATCH(A8,'SKU_Profitability'!$AL$2:$AL$25,0))</x:f>
        <x:v>Line 2</x:v>
      </x:c>
      <x:c r="F8" s="7" t="str">
        <x:f>INDEX('SKU_Profitability'!$E$2:$E$25,MATCH(A8,'SKU_Profitability'!$AL$2:$AL$25,0))</x:f>
        <x:v>No</x:v>
      </x:c>
      <x:c r="G8" s="24" t="n">
        <x:f>INDEX('SKU_Profitability'!$F$2:$F$25,MATCH(A8,'SKU_Profitability'!$AL$2:$AL$25,0))</x:f>
        <x:v>3300</x:v>
      </x:c>
      <x:c r="H8" s="26" t="n">
        <x:f>INDEX('SKU_Profitability'!$J$2:$J$25,MATCH(A8,'SKU_Profitability'!$AL$2:$AL$25,0))</x:f>
        <x:v>73801.37647546033</x:v>
      </x:c>
      <x:c r="I8" s="26" t="n">
        <x:f>INDEX('SKU_Profitability'!$T$2:$T$25,MATCH(A8,'SKU_Profitability'!$AL$2:$AL$25,0))</x:f>
        <x:v>14750.539653366872</x:v>
      </x:c>
      <x:c r="J8" s="30" t="n">
        <x:f>INDEX('SKU_Profitability'!$U$2:$U$25,MATCH(A8,'SKU_Profitability'!$AL$2:$AL$25,0))</x:f>
        <x:v>0.19986808319586788</x:v>
      </x:c>
      <x:c r="K8" s="26" t="n">
        <x:f>INDEX('SKU_Profitability'!$W$2:$W$25,MATCH(A8,'SKU_Profitability'!$AL$2:$AL$25,0))</x:f>
        <x:v>175.47980156677153</x:v>
      </x:c>
      <x:c r="L8" s="26" t="n">
        <x:f>INDEX('SKU_Profitability'!$AG$2:$AG$25,MATCH(A8,'SKU_Profitability'!$AL$2:$AL$25,0))</x:f>
        <x:v>14820.855838788624</x:v>
      </x:c>
      <x:c r="M8" s="7" t="str">
        <x:f>INDEX('SKU_Profitability'!$AI$2:$AI$25,MATCH(A8,'SKU_Profitability'!$AL$2:$AL$25,0))</x:f>
        <x:v>PRICE / COST REVIEW</x:v>
      </x:c>
      <x:c r="N8" s="8" t="str">
        <x:f>IF(M8="DATA REVIEW","Which cost, time or sales input is missing?",IF(M8="STRATEGIC REVIEW","What customer or portfolio role justifies the economics?",IF(M8="IMMEDIATE REVIEW","Can price, cost or service terms eliminate the loss?",IF(M8="CAPACITY DRAG","Can throughput improve or constrained time shift to stronger work?",IF(M8="PRICE / COST REVIEW","Which price, material or conversion lever closes the gap?",IF(M8="BATCH / MOQ REVIEW","Can MOQ, campaign size or changeover time improve?",IF(M8="PROTECT &amp; GROW","How do we protect price while adding qualified volume?","Are mix and cost trends staying within target?")))))))</x:f>
        <x:v>Which price, material or conversion lever closes the gap?</x:v>
      </x:c>
    </x:row>
    <x:row r="9">
      <x:c r="A9" s="95" t="n">
        <x:v>8</x:v>
      </x:c>
      <x:c r="B9" s="7" t="str">
        <x:f>INDEX('SKU_Profitability'!$A$2:$A$25,MATCH(A9,'SKU_Profitability'!$AL$2:$AL$25,0))</x:f>
        <x:v>FG-014</x:v>
      </x:c>
      <x:c r="C9" s="7" t="str">
        <x:f>INDEX('SKU_Profitability'!$B$2:$B$25,MATCH(A9,'SKU_Profitability'!$AL$2:$AL$25,0))</x:f>
        <x:v>Prime Black Product</x:v>
      </x:c>
      <x:c r="D9" s="7" t="str">
        <x:f>INDEX('SKU_Profitability'!$C$2:$C$25,MATCH(A9,'SKU_Profitability'!$AL$2:$AL$25,0))</x:f>
        <x:v>Prime</x:v>
      </x:c>
      <x:c r="E9" s="7" t="str">
        <x:f>INDEX('SKU_Profitability'!$D$2:$D$25,MATCH(A9,'SKU_Profitability'!$AL$2:$AL$25,0))</x:f>
        <x:v>Line 1</x:v>
      </x:c>
      <x:c r="F9" s="7" t="str">
        <x:f>INDEX('SKU_Profitability'!$E$2:$E$25,MATCH(A9,'SKU_Profitability'!$AL$2:$AL$25,0))</x:f>
        <x:v>No</x:v>
      </x:c>
      <x:c r="G9" s="24" t="n">
        <x:f>INDEX('SKU_Profitability'!$F$2:$F$25,MATCH(A9,'SKU_Profitability'!$AL$2:$AL$25,0))</x:f>
        <x:v>3440</x:v>
      </x:c>
      <x:c r="H9" s="26" t="n">
        <x:f>INDEX('SKU_Profitability'!$J$2:$J$25,MATCH(A9,'SKU_Profitability'!$AL$2:$AL$25,0))</x:f>
        <x:v>66285.39325540421</x:v>
      </x:c>
      <x:c r="I9" s="26" t="n">
        <x:f>INDEX('SKU_Profitability'!$T$2:$T$25,MATCH(A9,'SKU_Profitability'!$AL$2:$AL$25,0))</x:f>
        <x:v>11165.686923625308</x:v>
      </x:c>
      <x:c r="J9" s="30" t="n">
        <x:f>INDEX('SKU_Profitability'!$U$2:$U$25,MATCH(A9,'SKU_Profitability'!$AL$2:$AL$25,0))</x:f>
        <x:v>0.16844867889072945</x:v>
      </x:c>
      <x:c r="K9" s="26" t="n">
        <x:f>INDEX('SKU_Profitability'!$W$2:$W$25,MATCH(A9,'SKU_Profitability'!$AL$2:$AL$25,0))</x:f>
        <x:v>96.69828863904971</x:v>
      </x:c>
      <x:c r="L9" s="26" t="n">
        <x:f>INDEX('SKU_Profitability'!$AG$2:$AG$25,MATCH(A9,'SKU_Profitability'!$AL$2:$AL$25,0))</x:f>
        <x:v>14651.90339642083</x:v>
      </x:c>
      <x:c r="M9" s="7" t="str">
        <x:f>INDEX('SKU_Profitability'!$AI$2:$AI$25,MATCH(A9,'SKU_Profitability'!$AL$2:$AL$25,0))</x:f>
        <x:v>PRICE / COST REVIEW</x:v>
      </x:c>
      <x:c r="N9" s="8" t="str">
        <x:f>IF(M9="DATA REVIEW","Which cost, time or sales input is missing?",IF(M9="STRATEGIC REVIEW","What customer or portfolio role justifies the economics?",IF(M9="IMMEDIATE REVIEW","Can price, cost or service terms eliminate the loss?",IF(M9="CAPACITY DRAG","Can throughput improve or constrained time shift to stronger work?",IF(M9="PRICE / COST REVIEW","Which price, material or conversion lever closes the gap?",IF(M9="BATCH / MOQ REVIEW","Can MOQ, campaign size or changeover time improve?",IF(M9="PROTECT &amp; GROW","How do we protect price while adding qualified volume?","Are mix and cost trends staying within target?")))))))</x:f>
        <x:v>Which price, material or conversion lever closes the gap?</x:v>
      </x:c>
    </x:row>
    <x:row r="10">
      <x:c r="A10" s="95" t="n">
        <x:v>9</x:v>
      </x:c>
      <x:c r="B10" s="7" t="str">
        <x:f>INDEX('SKU_Profitability'!$A$2:$A$25,MATCH(A10,'SKU_Profitability'!$AL$2:$AL$25,0))</x:f>
        <x:v>FG-009</x:v>
      </x:c>
      <x:c r="C10" s="7" t="str">
        <x:f>INDEX('SKU_Profitability'!$B$2:$B$25,MATCH(A10,'SKU_Profitability'!$AL$2:$AL$25,0))</x:f>
        <x:v>Guard Tan Product</x:v>
      </x:c>
      <x:c r="D10" s="7" t="str">
        <x:f>INDEX('SKU_Profitability'!$C$2:$C$25,MATCH(A10,'SKU_Profitability'!$AL$2:$AL$25,0))</x:f>
        <x:v>Guard</x:v>
      </x:c>
      <x:c r="E10" s="7" t="str">
        <x:f>INDEX('SKU_Profitability'!$D$2:$D$25,MATCH(A10,'SKU_Profitability'!$AL$2:$AL$25,0))</x:f>
        <x:v>Line 2</x:v>
      </x:c>
      <x:c r="F10" s="7" t="str">
        <x:f>INDEX('SKU_Profitability'!$E$2:$E$25,MATCH(A10,'SKU_Profitability'!$AL$2:$AL$25,0))</x:f>
        <x:v>No</x:v>
      </x:c>
      <x:c r="G10" s="24" t="n">
        <x:f>INDEX('SKU_Profitability'!$F$2:$F$25,MATCH(A10,'SKU_Profitability'!$AL$2:$AL$25,0))</x:f>
        <x:v>3440</x:v>
      </x:c>
      <x:c r="H10" s="26" t="n">
        <x:f>INDEX('SKU_Profitability'!$J$2:$J$25,MATCH(A10,'SKU_Profitability'!$AL$2:$AL$25,0))</x:f>
        <x:v>73903.32003700783</x:v>
      </x:c>
      <x:c r="I10" s="26" t="n">
        <x:f>INDEX('SKU_Profitability'!$T$2:$T$25,MATCH(A10,'SKU_Profitability'!$AL$2:$AL$25,0))</x:f>
        <x:v>12423.946633645624</x:v>
      </x:c>
      <x:c r="J10" s="30" t="n">
        <x:f>INDEX('SKU_Profitability'!$U$2:$U$25,MATCH(A10,'SKU_Profitability'!$AL$2:$AL$25,0))</x:f>
        <x:v>0.16811080513601026</x:v>
      </x:c>
      <x:c r="K10" s="26" t="n">
        <x:f>INDEX('SKU_Profitability'!$W$2:$W$25,MATCH(A10,'SKU_Profitability'!$AL$2:$AL$25,0))</x:f>
        <x:v>81.08390780546235</x:v>
      </x:c>
      <x:c r="L10" s="26" t="n">
        <x:f>INDEX('SKU_Profitability'!$AG$2:$AG$25,MATCH(A10,'SKU_Profitability'!$AL$2:$AL$25,0))</x:f>
        <x:v>14461.497592665763</x:v>
      </x:c>
      <x:c r="M10" s="7" t="str">
        <x:f>INDEX('SKU_Profitability'!$AI$2:$AI$25,MATCH(A10,'SKU_Profitability'!$AL$2:$AL$25,0))</x:f>
        <x:v>PRICE / COST REVIEW</x:v>
      </x:c>
      <x:c r="N10" s="8" t="str">
        <x:f>IF(M10="DATA REVIEW","Which cost, time or sales input is missing?",IF(M10="STRATEGIC REVIEW","What customer or portfolio role justifies the economics?",IF(M10="IMMEDIATE REVIEW","Can price, cost or service terms eliminate the loss?",IF(M10="CAPACITY DRAG","Can throughput improve or constrained time shift to stronger work?",IF(M10="PRICE / COST REVIEW","Which price, material or conversion lever closes the gap?",IF(M10="BATCH / MOQ REVIEW","Can MOQ, campaign size or changeover time improve?",IF(M10="PROTECT &amp; GROW","How do we protect price while adding qualified volume?","Are mix and cost trends staying within target?")))))))</x:f>
        <x:v>Which price, material or conversion lever closes the gap?</x:v>
      </x:c>
    </x:row>
    <x:row r="11">
      <x:c r="A11" s="95" t="n">
        <x:v>10</x:v>
      </x:c>
      <x:c r="B11" s="7" t="str">
        <x:f>INDEX('SKU_Profitability'!$A$2:$A$25,MATCH(A11,'SKU_Profitability'!$AL$2:$AL$25,0))</x:f>
        <x:v>FG-018</x:v>
      </x:c>
      <x:c r="C11" s="7" t="str">
        <x:f>INDEX('SKU_Profitability'!$B$2:$B$25,MATCH(A11,'SKU_Profitability'!$AL$2:$AL$25,0))</x:f>
        <x:v>Prime Red Product</x:v>
      </x:c>
      <x:c r="D11" s="7" t="str">
        <x:f>INDEX('SKU_Profitability'!$C$2:$C$25,MATCH(A11,'SKU_Profitability'!$AL$2:$AL$25,0))</x:f>
        <x:v>Prime</x:v>
      </x:c>
      <x:c r="E11" s="7" t="str">
        <x:f>INDEX('SKU_Profitability'!$D$2:$D$25,MATCH(A11,'SKU_Profitability'!$AL$2:$AL$25,0))</x:f>
        <x:v>Line 1</x:v>
      </x:c>
      <x:c r="F11" s="7" t="str">
        <x:f>INDEX('SKU_Profitability'!$E$2:$E$25,MATCH(A11,'SKU_Profitability'!$AL$2:$AL$25,0))</x:f>
        <x:v>No</x:v>
      </x:c>
      <x:c r="G11" s="24" t="n">
        <x:f>INDEX('SKU_Profitability'!$F$2:$F$25,MATCH(A11,'SKU_Profitability'!$AL$2:$AL$25,0))</x:f>
        <x:v>3300</x:v>
      </x:c>
      <x:c r="H11" s="26" t="n">
        <x:f>INDEX('SKU_Profitability'!$J$2:$J$25,MATCH(A11,'SKU_Profitability'!$AL$2:$AL$25,0))</x:f>
        <x:v>61017.268832179776</x:v>
      </x:c>
      <x:c r="I11" s="26" t="n">
        <x:f>INDEX('SKU_Profitability'!$T$2:$T$25,MATCH(A11,'SKU_Profitability'!$AL$2:$AL$25,0))</x:f>
        <x:v>10289.5554274591</x:v>
      </x:c>
      <x:c r="J11" s="30" t="n">
        <x:f>INDEX('SKU_Profitability'!$U$2:$U$25,MATCH(A11,'SKU_Profitability'!$AL$2:$AL$25,0))</x:f>
        <x:v>0.16863349711307485</x:v>
      </x:c>
      <x:c r="K11" s="26" t="n">
        <x:f>INDEX('SKU_Profitability'!$W$2:$W$25,MATCH(A11,'SKU_Profitability'!$AL$2:$AL$25,0))</x:f>
        <x:v>95.5479192818191</x:v>
      </x:c>
      <x:c r="L11" s="26" t="n">
        <x:f>INDEX('SKU_Profitability'!$AG$2:$AG$25,MATCH(A11,'SKU_Profitability'!$AL$2:$AL$25,0))</x:f>
        <x:v>13552.176410739785</x:v>
      </x:c>
      <x:c r="M11" s="7" t="str">
        <x:f>INDEX('SKU_Profitability'!$AI$2:$AI$25,MATCH(A11,'SKU_Profitability'!$AL$2:$AL$25,0))</x:f>
        <x:v>PRICE / COST REVIEW</x:v>
      </x:c>
      <x:c r="N11" s="8" t="str">
        <x:f>IF(M11="DATA REVIEW","Which cost, time or sales input is missing?",IF(M11="STRATEGIC REVIEW","What customer or portfolio role justifies the economics?",IF(M11="IMMEDIATE REVIEW","Can price, cost or service terms eliminate the loss?",IF(M11="CAPACITY DRAG","Can throughput improve or constrained time shift to stronger work?",IF(M11="PRICE / COST REVIEW","Which price, material or conversion lever closes the gap?",IF(M11="BATCH / MOQ REVIEW","Can MOQ, campaign size or changeover time improve?",IF(M11="PROTECT &amp; GROW","How do we protect price while adding qualified volume?","Are mix and cost trends staying within target?")))))))</x:f>
        <x:v>Which price, material or conversion lever closes the gap?</x:v>
      </x:c>
    </x:row>
    <x:row r="12">
      <x:c r="A12" s="95" t="n">
        <x:v>11</x:v>
      </x:c>
      <x:c r="B12" s="7" t="str">
        <x:f>INDEX('SKU_Profitability'!$A$2:$A$25,MATCH(A12,'SKU_Profitability'!$AL$2:$AL$25,0))</x:f>
        <x:v>FG-002</x:v>
      </x:c>
      <x:c r="C12" s="7" t="str">
        <x:f>INDEX('SKU_Profitability'!$B$2:$B$25,MATCH(A12,'SKU_Profitability'!$AL$2:$AL$25,0))</x:f>
        <x:v>Shield Black Product</x:v>
      </x:c>
      <x:c r="D12" s="7" t="str">
        <x:f>INDEX('SKU_Profitability'!$C$2:$C$25,MATCH(A12,'SKU_Profitability'!$AL$2:$AL$25,0))</x:f>
        <x:v>Shield</x:v>
      </x:c>
      <x:c r="E12" s="7" t="str">
        <x:f>INDEX('SKU_Profitability'!$D$2:$D$25,MATCH(A12,'SKU_Profitability'!$AL$2:$AL$25,0))</x:f>
        <x:v>Line 1</x:v>
      </x:c>
      <x:c r="F12" s="7" t="str">
        <x:f>INDEX('SKU_Profitability'!$E$2:$E$25,MATCH(A12,'SKU_Profitability'!$AL$2:$AL$25,0))</x:f>
        <x:v>No</x:v>
      </x:c>
      <x:c r="G12" s="24" t="n">
        <x:f>INDEX('SKU_Profitability'!$F$2:$F$25,MATCH(A12,'SKU_Profitability'!$AL$2:$AL$25,0))</x:f>
        <x:v>3140</x:v>
      </x:c>
      <x:c r="H12" s="26" t="n">
        <x:f>INDEX('SKU_Profitability'!$J$2:$J$25,MATCH(A12,'SKU_Profitability'!$AL$2:$AL$25,0))</x:f>
        <x:v>56873.030602456434</x:v>
      </x:c>
      <x:c r="I12" s="26" t="n">
        <x:f>INDEX('SKU_Profitability'!$T$2:$T$25,MATCH(A12,'SKU_Profitability'!$AL$2:$AL$25,0))</x:f>
        <x:v>10056.502503352402</x:v>
      </x:c>
      <x:c r="J12" s="30" t="n">
        <x:f>INDEX('SKU_Profitability'!$U$2:$U$25,MATCH(A12,'SKU_Profitability'!$AL$2:$AL$25,0))</x:f>
        <x:v>0.17682374926786557</x:v>
      </x:c>
      <x:c r="K12" s="26" t="n">
        <x:f>INDEX('SKU_Profitability'!$W$2:$W$25,MATCH(A12,'SKU_Profitability'!$AL$2:$AL$25,0))</x:f>
        <x:v>116.1804523681529</x:v>
      </x:c>
      <x:c r="L12" s="26" t="n">
        <x:f>INDEX('SKU_Profitability'!$AG$2:$AG$25,MATCH(A12,'SKU_Profitability'!$AL$2:$AL$25,0))</x:f>
        <x:v>11852.944398825604</x:v>
      </x:c>
      <x:c r="M12" s="7" t="str">
        <x:f>INDEX('SKU_Profitability'!$AI$2:$AI$25,MATCH(A12,'SKU_Profitability'!$AL$2:$AL$25,0))</x:f>
        <x:v>PRICE / COST REVIEW</x:v>
      </x:c>
      <x:c r="N12" s="8" t="str">
        <x:f>IF(M12="DATA REVIEW","Which cost, time or sales input is missing?",IF(M12="STRATEGIC REVIEW","What customer or portfolio role justifies the economics?",IF(M12="IMMEDIATE REVIEW","Can price, cost or service terms eliminate the loss?",IF(M12="CAPACITY DRAG","Can throughput improve or constrained time shift to stronger work?",IF(M12="PRICE / COST REVIEW","Which price, material or conversion lever closes the gap?",IF(M12="BATCH / MOQ REVIEW","Can MOQ, campaign size or changeover time improve?",IF(M12="PROTECT &amp; GROW","How do we protect price while adding qualified volume?","Are mix and cost trends staying within target?")))))))</x:f>
        <x:v>Which price, material or conversion lever closes the gap?</x:v>
      </x:c>
    </x:row>
    <x:row r="13">
      <x:c r="A13" s="95" t="n">
        <x:v>12</x:v>
      </x:c>
      <x:c r="B13" s="7" t="str">
        <x:f>INDEX('SKU_Profitability'!$A$2:$A$25,MATCH(A13,'SKU_Profitability'!$AL$2:$AL$25,0))</x:f>
        <x:v>FG-016</x:v>
      </x:c>
      <x:c r="C13" s="7" t="str">
        <x:f>INDEX('SKU_Profitability'!$B$2:$B$25,MATCH(A13,'SKU_Profitability'!$AL$2:$AL$25,0))</x:f>
        <x:v>Prime Blue Product</x:v>
      </x:c>
      <x:c r="D13" s="7" t="str">
        <x:f>INDEX('SKU_Profitability'!$C$2:$C$25,MATCH(A13,'SKU_Profitability'!$AL$2:$AL$25,0))</x:f>
        <x:v>Prime</x:v>
      </x:c>
      <x:c r="E13" s="7" t="str">
        <x:f>INDEX('SKU_Profitability'!$D$2:$D$25,MATCH(A13,'SKU_Profitability'!$AL$2:$AL$25,0))</x:f>
        <x:v>Line 1</x:v>
      </x:c>
      <x:c r="F13" s="7" t="str">
        <x:f>INDEX('SKU_Profitability'!$E$2:$E$25,MATCH(A13,'SKU_Profitability'!$AL$2:$AL$25,0))</x:f>
        <x:v>No</x:v>
      </x:c>
      <x:c r="G13" s="24" t="n">
        <x:f>INDEX('SKU_Profitability'!$F$2:$F$25,MATCH(A13,'SKU_Profitability'!$AL$2:$AL$25,0))</x:f>
        <x:v>1310</x:v>
      </x:c>
      <x:c r="H13" s="26" t="n">
        <x:f>INDEX('SKU_Profitability'!$J$2:$J$25,MATCH(A13,'SKU_Profitability'!$AL$2:$AL$25,0))</x:f>
        <x:v>37433.17848307884</x:v>
      </x:c>
      <x:c r="I13" s="26" t="n">
        <x:f>INDEX('SKU_Profitability'!$T$2:$T$25,MATCH(A13,'SKU_Profitability'!$AL$2:$AL$25,0))</x:f>
        <x:v>13345.40612473161</x:v>
      </x:c>
      <x:c r="J13" s="30" t="n">
        <x:f>INDEX('SKU_Profitability'!$U$2:$U$25,MATCH(A13,'SKU_Profitability'!$AL$2:$AL$25,0))</x:f>
        <x:v>0.356512769300748</x:v>
      </x:c>
      <x:c r="K13" s="26" t="n">
        <x:f>INDEX('SKU_Profitability'!$W$2:$W$25,MATCH(A13,'SKU_Profitability'!$AL$2:$AL$25,0))</x:f>
        <x:v>106.96699565624573</x:v>
      </x:c>
      <x:c r="L13" s="26" t="n">
        <x:f>INDEX('SKU_Profitability'!$AG$2:$AG$25,MATCH(A13,'SKU_Profitability'!$AL$2:$AL$25,0))</x:f>
        <x:v>0</x:v>
      </x:c>
      <x:c r="M13" s="7" t="str">
        <x:f>INDEX('SKU_Profitability'!$AI$2:$AI$25,MATCH(A13,'SKU_Profitability'!$AL$2:$AL$25,0))</x:f>
        <x:v>CAPACITY DRAG</x:v>
      </x:c>
      <x:c r="N13" s="8" t="str">
        <x:f>IF(M13="DATA REVIEW","Which cost, time or sales input is missing?",IF(M13="STRATEGIC REVIEW","What customer or portfolio role justifies the economics?",IF(M13="IMMEDIATE REVIEW","Can price, cost or service terms eliminate the loss?",IF(M13="CAPACITY DRAG","Can throughput improve or constrained time shift to stronger work?",IF(M13="PRICE / COST REVIEW","Which price, material or conversion lever closes the gap?",IF(M13="BATCH / MOQ REVIEW","Can MOQ, campaign size or changeover time improve?",IF(M13="PROTECT &amp; GROW","How do we protect price while adding qualified volume?","Are mix and cost trends staying within target?")))))))</x:f>
        <x:v>Can throughput improve or constrained time shift to stronger work?</x:v>
      </x:c>
    </x:row>
    <x:row r="14">
      <x:c r="A14" s="95" t="n">
        <x:v>13</x:v>
      </x:c>
      <x:c r="B14" s="7" t="str">
        <x:f>INDEX('SKU_Profitability'!$A$2:$A$25,MATCH(A14,'SKU_Profitability'!$AL$2:$AL$25,0))</x:f>
        <x:v>FG-010</x:v>
      </x:c>
      <x:c r="C14" s="7" t="str">
        <x:f>INDEX('SKU_Profitability'!$B$2:$B$25,MATCH(A14,'SKU_Profitability'!$AL$2:$AL$25,0))</x:f>
        <x:v>Guard Blue Product</x:v>
      </x:c>
      <x:c r="D14" s="7" t="str">
        <x:f>INDEX('SKU_Profitability'!$C$2:$C$25,MATCH(A14,'SKU_Profitability'!$AL$2:$AL$25,0))</x:f>
        <x:v>Guard</x:v>
      </x:c>
      <x:c r="E14" s="7" t="str">
        <x:f>INDEX('SKU_Profitability'!$D$2:$D$25,MATCH(A14,'SKU_Profitability'!$AL$2:$AL$25,0))</x:f>
        <x:v>Line 2</x:v>
      </x:c>
      <x:c r="F14" s="7" t="str">
        <x:f>INDEX('SKU_Profitability'!$E$2:$E$25,MATCH(A14,'SKU_Profitability'!$AL$2:$AL$25,0))</x:f>
        <x:v>No</x:v>
      </x:c>
      <x:c r="G14" s="24" t="n">
        <x:f>INDEX('SKU_Profitability'!$F$2:$F$25,MATCH(A14,'SKU_Profitability'!$AL$2:$AL$25,0))</x:f>
        <x:v>1560</x:v>
      </x:c>
      <x:c r="H14" s="26" t="n">
        <x:f>INDEX('SKU_Profitability'!$J$2:$J$25,MATCH(A14,'SKU_Profitability'!$AL$2:$AL$25,0))</x:f>
        <x:v>57853.312584464555</x:v>
      </x:c>
      <x:c r="I14" s="26" t="n">
        <x:f>INDEX('SKU_Profitability'!$T$2:$T$25,MATCH(A14,'SKU_Profitability'!$AL$2:$AL$25,0))</x:f>
        <x:v>18471.16318546419</x:v>
      </x:c>
      <x:c r="J14" s="30" t="n">
        <x:f>INDEX('SKU_Profitability'!$U$2:$U$25,MATCH(A14,'SKU_Profitability'!$AL$2:$AL$25,0))</x:f>
        <x:v>0.3192758091163181</x:v>
      </x:c>
      <x:c r="K14" s="26" t="n">
        <x:f>INDEX('SKU_Profitability'!$W$2:$W$25,MATCH(A14,'SKU_Profitability'!$AL$2:$AL$25,0))</x:f>
        <x:v>88.80366916088552</x:v>
      </x:c>
      <x:c r="L14" s="26" t="n">
        <x:f>INDEX('SKU_Profitability'!$AG$2:$AG$25,MATCH(A14,'SKU_Profitability'!$AL$2:$AL$25,0))</x:f>
        <x:v>0</x:v>
      </x:c>
      <x:c r="M14" s="7" t="str">
        <x:f>INDEX('SKU_Profitability'!$AI$2:$AI$25,MATCH(A14,'SKU_Profitability'!$AL$2:$AL$25,0))</x:f>
        <x:v>CAPACITY DRAG</x:v>
      </x:c>
      <x:c r="N14" s="8" t="str">
        <x:f>IF(M14="DATA REVIEW","Which cost, time or sales input is missing?",IF(M14="STRATEGIC REVIEW","What customer or portfolio role justifies the economics?",IF(M14="IMMEDIATE REVIEW","Can price, cost or service terms eliminate the loss?",IF(M14="CAPACITY DRAG","Can throughput improve or constrained time shift to stronger work?",IF(M14="PRICE / COST REVIEW","Which price, material or conversion lever closes the gap?",IF(M14="BATCH / MOQ REVIEW","Can MOQ, campaign size or changeover time improve?",IF(M14="PROTECT &amp; GROW","How do we protect price while adding qualified volume?","Are mix and cost trends staying within target?")))))))</x:f>
        <x:v>Can throughput improve or constrained time shift to stronger work?</x:v>
      </x:c>
    </x:row>
    <x:row r="15">
      <x:c r="A15" s="95" t="n">
        <x:v>14</x:v>
      </x:c>
      <x:c r="B15" s="7" t="str">
        <x:f>INDEX('SKU_Profitability'!$A$2:$A$25,MATCH(A15,'SKU_Profitability'!$AL$2:$AL$25,0))</x:f>
        <x:v>FG-003</x:v>
      </x:c>
      <x:c r="C15" s="7" t="str">
        <x:f>INDEX('SKU_Profitability'!$B$2:$B$25,MATCH(A15,'SKU_Profitability'!$AL$2:$AL$25,0))</x:f>
        <x:v>Shield Tan Product</x:v>
      </x:c>
      <x:c r="D15" s="7" t="str">
        <x:f>INDEX('SKU_Profitability'!$C$2:$C$25,MATCH(A15,'SKU_Profitability'!$AL$2:$AL$25,0))</x:f>
        <x:v>Shield</x:v>
      </x:c>
      <x:c r="E15" s="7" t="str">
        <x:f>INDEX('SKU_Profitability'!$D$2:$D$25,MATCH(A15,'SKU_Profitability'!$AL$2:$AL$25,0))</x:f>
        <x:v>Line 1</x:v>
      </x:c>
      <x:c r="F15" s="7" t="str">
        <x:f>INDEX('SKU_Profitability'!$E$2:$E$25,MATCH(A15,'SKU_Profitability'!$AL$2:$AL$25,0))</x:f>
        <x:v>No</x:v>
      </x:c>
      <x:c r="G15" s="24" t="n">
        <x:f>INDEX('SKU_Profitability'!$F$2:$F$25,MATCH(A15,'SKU_Profitability'!$AL$2:$AL$25,0))</x:f>
        <x:v>1430</x:v>
      </x:c>
      <x:c r="H15" s="26" t="n">
        <x:f>INDEX('SKU_Profitability'!$J$2:$J$25,MATCH(A15,'SKU_Profitability'!$AL$2:$AL$25,0))</x:f>
        <x:v>49928.890380659395</x:v>
      </x:c>
      <x:c r="I15" s="26" t="n">
        <x:f>INDEX('SKU_Profitability'!$T$2:$T$25,MATCH(A15,'SKU_Profitability'!$AL$2:$AL$25,0))</x:f>
        <x:v>17315.777561562252</x:v>
      </x:c>
      <x:c r="J15" s="30" t="n">
        <x:f>INDEX('SKU_Profitability'!$U$2:$U$25,MATCH(A15,'SKU_Profitability'!$AL$2:$AL$25,0))</x:f>
        <x:v>0.3468087800378945</x:v>
      </x:c>
      <x:c r="K15" s="26" t="n">
        <x:f>INDEX('SKU_Profitability'!$W$2:$W$25,MATCH(A15,'SKU_Profitability'!$AL$2:$AL$25,0))</x:f>
        <x:v>94.76558106054138</x:v>
      </x:c>
      <x:c r="L15" s="26" t="n">
        <x:f>INDEX('SKU_Profitability'!$AG$2:$AG$25,MATCH(A15,'SKU_Profitability'!$AL$2:$AL$25,0))</x:f>
        <x:v>0</x:v>
      </x:c>
      <x:c r="M15" s="7" t="str">
        <x:f>INDEX('SKU_Profitability'!$AI$2:$AI$25,MATCH(A15,'SKU_Profitability'!$AL$2:$AL$25,0))</x:f>
        <x:v>CAPACITY DRAG</x:v>
      </x:c>
      <x:c r="N15" s="8" t="str">
        <x:f>IF(M15="DATA REVIEW","Which cost, time or sales input is missing?",IF(M15="STRATEGIC REVIEW","What customer or portfolio role justifies the economics?",IF(M15="IMMEDIATE REVIEW","Can price, cost or service terms eliminate the loss?",IF(M15="CAPACITY DRAG","Can throughput improve or constrained time shift to stronger work?",IF(M15="PRICE / COST REVIEW","Which price, material or conversion lever closes the gap?",IF(M15="BATCH / MOQ REVIEW","Can MOQ, campaign size or changeover time improve?",IF(M15="PROTECT &amp; GROW","How do we protect price while adding qualified volume?","Are mix and cost trends staying within target?")))))))</x:f>
        <x:v>Can throughput improve or constrained time shift to stronger work?</x:v>
      </x:c>
    </x:row>
    <x:row r="16">
      <x:c r="A16" s="95" t="n">
        <x:v>15</x:v>
      </x:c>
      <x:c r="B16" s="7" t="str">
        <x:f>INDEX('SKU_Profitability'!$A$2:$A$25,MATCH(A16,'SKU_Profitability'!$AL$2:$AL$25,0))</x:f>
        <x:v>FG-020</x:v>
      </x:c>
      <x:c r="C16" s="7" t="str">
        <x:f>INDEX('SKU_Profitability'!$B$2:$B$25,MATCH(A16,'SKU_Profitability'!$AL$2:$AL$25,0))</x:f>
        <x:v>Flex Black Product</x:v>
      </x:c>
      <x:c r="D16" s="7" t="str">
        <x:f>INDEX('SKU_Profitability'!$C$2:$C$25,MATCH(A16,'SKU_Profitability'!$AL$2:$AL$25,0))</x:f>
        <x:v>Flex</x:v>
      </x:c>
      <x:c r="E16" s="7" t="str">
        <x:f>INDEX('SKU_Profitability'!$D$2:$D$25,MATCH(A16,'SKU_Profitability'!$AL$2:$AL$25,0))</x:f>
        <x:v>Line 2</x:v>
      </x:c>
      <x:c r="F16" s="7" t="str">
        <x:f>INDEX('SKU_Profitability'!$E$2:$E$25,MATCH(A16,'SKU_Profitability'!$AL$2:$AL$25,0))</x:f>
        <x:v>No</x:v>
      </x:c>
      <x:c r="G16" s="24" t="n">
        <x:f>INDEX('SKU_Profitability'!$F$2:$F$25,MATCH(A16,'SKU_Profitability'!$AL$2:$AL$25,0))</x:f>
        <x:v>1110</x:v>
      </x:c>
      <x:c r="H16" s="26" t="n">
        <x:f>INDEX('SKU_Profitability'!$J$2:$J$25,MATCH(A16,'SKU_Profitability'!$AL$2:$AL$25,0))</x:f>
        <x:v>44167.20049564774</x:v>
      </x:c>
      <x:c r="I16" s="26" t="n">
        <x:f>INDEX('SKU_Profitability'!$T$2:$T$25,MATCH(A16,'SKU_Profitability'!$AL$2:$AL$25,0))</x:f>
        <x:v>17225.281076126827</x:v>
      </x:c>
      <x:c r="J16" s="30" t="n">
        <x:f>INDEX('SKU_Profitability'!$U$2:$U$25,MATCH(A16,'SKU_Profitability'!$AL$2:$AL$25,0))</x:f>
        <x:v>0.39000165015720695</x:v>
      </x:c>
      <x:c r="K16" s="26" t="n">
        <x:f>INDEX('SKU_Profitability'!$W$2:$W$25,MATCH(A16,'SKU_Profitability'!$AL$2:$AL$25,0))</x:f>
        <x:v>122.51266768226759</x:v>
      </x:c>
      <x:c r="L16" s="26" t="n">
        <x:f>INDEX('SKU_Profitability'!$AG$2:$AG$25,MATCH(A16,'SKU_Profitability'!$AL$2:$AL$25,0))</x:f>
        <x:v>0</x:v>
      </x:c>
      <x:c r="M16" s="7" t="str">
        <x:f>INDEX('SKU_Profitability'!$AI$2:$AI$25,MATCH(A16,'SKU_Profitability'!$AL$2:$AL$25,0))</x:f>
        <x:v>BATCH / MOQ REVIEW</x:v>
      </x:c>
      <x:c r="N16" s="8" t="str">
        <x:f>IF(M16="DATA REVIEW","Which cost, time or sales input is missing?",IF(M16="STRATEGIC REVIEW","What customer or portfolio role justifies the economics?",IF(M16="IMMEDIATE REVIEW","Can price, cost or service terms eliminate the loss?",IF(M16="CAPACITY DRAG","Can throughput improve or constrained time shift to stronger work?",IF(M16="PRICE / COST REVIEW","Which price, material or conversion lever closes the gap?",IF(M16="BATCH / MOQ REVIEW","Can MOQ, campaign size or changeover time improve?",IF(M16="PROTECT &amp; GROW","How do we protect price while adding qualified volume?","Are mix and cost trends staying within target?")))))))</x:f>
        <x:v>Can MOQ, campaign size or changeover time improve?</x:v>
      </x:c>
    </x:row>
    <x:row r="17">
      <x:c r="A17" s="95" t="n">
        <x:v>16</x:v>
      </x:c>
      <x:c r="B17" s="7" t="str">
        <x:f>INDEX('SKU_Profitability'!$A$2:$A$25,MATCH(A17,'SKU_Profitability'!$AL$2:$AL$25,0))</x:f>
        <x:v>FG-013</x:v>
      </x:c>
      <x:c r="C17" s="7" t="str">
        <x:f>INDEX('SKU_Profitability'!$B$2:$B$25,MATCH(A17,'SKU_Profitability'!$AL$2:$AL$25,0))</x:f>
        <x:v>Prime White Product</x:v>
      </x:c>
      <x:c r="D17" s="7" t="str">
        <x:f>INDEX('SKU_Profitability'!$C$2:$C$25,MATCH(A17,'SKU_Profitability'!$AL$2:$AL$25,0))</x:f>
        <x:v>Prime</x:v>
      </x:c>
      <x:c r="E17" s="7" t="str">
        <x:f>INDEX('SKU_Profitability'!$D$2:$D$25,MATCH(A17,'SKU_Profitability'!$AL$2:$AL$25,0))</x:f>
        <x:v>Line 1</x:v>
      </x:c>
      <x:c r="F17" s="7" t="str">
        <x:f>INDEX('SKU_Profitability'!$E$2:$E$25,MATCH(A17,'SKU_Profitability'!$AL$2:$AL$25,0))</x:f>
        <x:v>No</x:v>
      </x:c>
      <x:c r="G17" s="24" t="n">
        <x:f>INDEX('SKU_Profitability'!$F$2:$F$25,MATCH(A17,'SKU_Profitability'!$AL$2:$AL$25,0))</x:f>
        <x:v>1020</x:v>
      </x:c>
      <x:c r="H17" s="26" t="n">
        <x:f>INDEX('SKU_Profitability'!$J$2:$J$25,MATCH(A17,'SKU_Profitability'!$AL$2:$AL$25,0))</x:f>
        <x:v>30757.418033470258</x:v>
      </x:c>
      <x:c r="I17" s="26" t="n">
        <x:f>INDEX('SKU_Profitability'!$T$2:$T$25,MATCH(A17,'SKU_Profitability'!$AL$2:$AL$25,0))</x:f>
        <x:v>10916.736754697125</x:v>
      </x:c>
      <x:c r="J17" s="30" t="n">
        <x:f>INDEX('SKU_Profitability'!$U$2:$U$25,MATCH(A17,'SKU_Profitability'!$AL$2:$AL$25,0))</x:f>
        <x:v>0.35493020717205587</x:v>
      </x:c>
      <x:c r="K17" s="26" t="n">
        <x:f>INDEX('SKU_Profitability'!$W$2:$W$25,MATCH(A17,'SKU_Profitability'!$AL$2:$AL$25,0))</x:f>
        <x:v>84.49486652242356</x:v>
      </x:c>
      <x:c r="L17" s="26" t="n">
        <x:f>INDEX('SKU_Profitability'!$AG$2:$AG$25,MATCH(A17,'SKU_Profitability'!$AL$2:$AL$25,0))</x:f>
        <x:v>0</x:v>
      </x:c>
      <x:c r="M17" s="7" t="str">
        <x:f>INDEX('SKU_Profitability'!$AI$2:$AI$25,MATCH(A17,'SKU_Profitability'!$AL$2:$AL$25,0))</x:f>
        <x:v>BATCH / MOQ REVIEW</x:v>
      </x:c>
      <x:c r="N17" s="8" t="str">
        <x:f>IF(M17="DATA REVIEW","Which cost, time or sales input is missing?",IF(M17="STRATEGIC REVIEW","What customer or portfolio role justifies the economics?",IF(M17="IMMEDIATE REVIEW","Can price, cost or service terms eliminate the loss?",IF(M17="CAPACITY DRAG","Can throughput improve or constrained time shift to stronger work?",IF(M17="PRICE / COST REVIEW","Which price, material or conversion lever closes the gap?",IF(M17="BATCH / MOQ REVIEW","Can MOQ, campaign size or changeover time improve?",IF(M17="PROTECT &amp; GROW","How do we protect price while adding qualified volume?","Are mix and cost trends staying within target?")))))))</x:f>
        <x:v>Can MOQ, campaign size or changeover time improve?</x:v>
      </x:c>
    </x:row>
    <x:row r="18">
      <x:c r="A18" s="95" t="n">
        <x:v>17</x:v>
      </x:c>
      <x:c r="B18" s="7" t="str">
        <x:f>INDEX('SKU_Profitability'!$A$2:$A$25,MATCH(A18,'SKU_Profitability'!$AL$2:$AL$25,0))</x:f>
        <x:v>FG-006</x:v>
      </x:c>
      <x:c r="C18" s="7" t="str">
        <x:f>INDEX('SKU_Profitability'!$B$2:$B$25,MATCH(A18,'SKU_Profitability'!$AL$2:$AL$25,0))</x:f>
        <x:v>Shield Red Product</x:v>
      </x:c>
      <x:c r="D18" s="7" t="str">
        <x:f>INDEX('SKU_Profitability'!$C$2:$C$25,MATCH(A18,'SKU_Profitability'!$AL$2:$AL$25,0))</x:f>
        <x:v>Shield</x:v>
      </x:c>
      <x:c r="E18" s="7" t="str">
        <x:f>INDEX('SKU_Profitability'!$D$2:$D$25,MATCH(A18,'SKU_Profitability'!$AL$2:$AL$25,0))</x:f>
        <x:v>Line 1</x:v>
      </x:c>
      <x:c r="F18" s="7" t="str">
        <x:f>INDEX('SKU_Profitability'!$E$2:$E$25,MATCH(A18,'SKU_Profitability'!$AL$2:$AL$25,0))</x:f>
        <x:v>No</x:v>
      </x:c>
      <x:c r="G18" s="24" t="n">
        <x:f>INDEX('SKU_Profitability'!$F$2:$F$25,MATCH(A18,'SKU_Profitability'!$AL$2:$AL$25,0))</x:f>
        <x:v>930</x:v>
      </x:c>
      <x:c r="H18" s="26" t="n">
        <x:f>INDEX('SKU_Profitability'!$J$2:$J$25,MATCH(A18,'SKU_Profitability'!$AL$2:$AL$25,0))</x:f>
        <x:v>27825.435205127666</x:v>
      </x:c>
      <x:c r="I18" s="26" t="n">
        <x:f>INDEX('SKU_Profitability'!$T$2:$T$25,MATCH(A18,'SKU_Profitability'!$AL$2:$AL$25,0))</x:f>
        <x:v>10183.979646527678</x:v>
      </x:c>
      <x:c r="J18" s="30" t="n">
        <x:f>INDEX('SKU_Profitability'!$U$2:$U$25,MATCH(A18,'SKU_Profitability'!$AL$2:$AL$25,0))</x:f>
        <x:v>0.36599534100551917</x:v>
      </x:c>
      <x:c r="K18" s="26" t="n">
        <x:f>INDEX('SKU_Profitability'!$W$2:$W$25,MATCH(A18,'SKU_Profitability'!$AL$2:$AL$25,0))</x:f>
        <x:v>86.45144012332493</x:v>
      </x:c>
      <x:c r="L18" s="26" t="n">
        <x:f>INDEX('SKU_Profitability'!$AG$2:$AG$25,MATCH(A18,'SKU_Profitability'!$AL$2:$AL$25,0))</x:f>
        <x:v>0</x:v>
      </x:c>
      <x:c r="M18" s="7" t="str">
        <x:f>INDEX('SKU_Profitability'!$AI$2:$AI$25,MATCH(A18,'SKU_Profitability'!$AL$2:$AL$25,0))</x:f>
        <x:v>BATCH / MOQ REVIEW</x:v>
      </x:c>
      <x:c r="N18" s="8" t="str">
        <x:f>IF(M18="DATA REVIEW","Which cost, time or sales input is missing?",IF(M18="STRATEGIC REVIEW","What customer or portfolio role justifies the economics?",IF(M18="IMMEDIATE REVIEW","Can price, cost or service terms eliminate the loss?",IF(M18="CAPACITY DRAG","Can throughput improve or constrained time shift to stronger work?",IF(M18="PRICE / COST REVIEW","Which price, material or conversion lever closes the gap?",IF(M18="BATCH / MOQ REVIEW","Can MOQ, campaign size or changeover time improve?",IF(M18="PROTECT &amp; GROW","How do we protect price while adding qualified volume?","Are mix and cost trends staying within target?")))))))</x:f>
        <x:v>Can MOQ, campaign size or changeover time improve?</x:v>
      </x:c>
    </x:row>
    <x:row r="19">
      <x:c r="A19" s="95" t="n">
        <x:v>18</x:v>
      </x:c>
      <x:c r="B19" s="7" t="str">
        <x:f>INDEX('SKU_Profitability'!$A$2:$A$25,MATCH(A19,'SKU_Profitability'!$AL$2:$AL$25,0))</x:f>
        <x:v>FG-022</x:v>
      </x:c>
      <x:c r="C19" s="7" t="str">
        <x:f>INDEX('SKU_Profitability'!$B$2:$B$25,MATCH(A19,'SKU_Profitability'!$AL$2:$AL$25,0))</x:f>
        <x:v>Flex Blue Product</x:v>
      </x:c>
      <x:c r="D19" s="7" t="str">
        <x:f>INDEX('SKU_Profitability'!$C$2:$C$25,MATCH(A19,'SKU_Profitability'!$AL$2:$AL$25,0))</x:f>
        <x:v>Flex</x:v>
      </x:c>
      <x:c r="E19" s="7" t="str">
        <x:f>INDEX('SKU_Profitability'!$D$2:$D$25,MATCH(A19,'SKU_Profitability'!$AL$2:$AL$25,0))</x:f>
        <x:v>Line 2</x:v>
      </x:c>
      <x:c r="F19" s="7" t="str">
        <x:f>INDEX('SKU_Profitability'!$E$2:$E$25,MATCH(A19,'SKU_Profitability'!$AL$2:$AL$25,0))</x:f>
        <x:v>No</x:v>
      </x:c>
      <x:c r="G19" s="24" t="n">
        <x:f>INDEX('SKU_Profitability'!$F$2:$F$25,MATCH(A19,'SKU_Profitability'!$AL$2:$AL$25,0))</x:f>
        <x:v>5250</x:v>
      </x:c>
      <x:c r="H19" s="26" t="n">
        <x:f>INDEX('SKU_Profitability'!$J$2:$J$25,MATCH(A19,'SKU_Profitability'!$AL$2:$AL$25,0))</x:f>
        <x:v>149490.81185455152</x:v>
      </x:c>
      <x:c r="I19" s="26" t="n">
        <x:f>INDEX('SKU_Profitability'!$T$2:$T$25,MATCH(A19,'SKU_Profitability'!$AL$2:$AL$25,0))</x:f>
        <x:v>61859.8137137796</x:v>
      </x:c>
      <x:c r="J19" s="30" t="n">
        <x:f>INDEX('SKU_Profitability'!$U$2:$U$25,MATCH(A19,'SKU_Profitability'!$AL$2:$AL$25,0))</x:f>
        <x:v>0.41380345016767106</x:v>
      </x:c>
      <x:c r="K19" s="26" t="n">
        <x:f>INDEX('SKU_Profitability'!$W$2:$W$25,MATCH(A19,'SKU_Profitability'!$AL$2:$AL$25,0))</x:f>
        <x:v>960.929145068421</x:v>
      </x:c>
      <x:c r="L19" s="26" t="n">
        <x:f>INDEX('SKU_Profitability'!$AG$2:$AG$25,MATCH(A19,'SKU_Profitability'!$AL$2:$AL$25,0))</x:f>
        <x:v>0</x:v>
      </x:c>
      <x:c r="M19" s="7" t="str">
        <x:f>INDEX('SKU_Profitability'!$AI$2:$AI$25,MATCH(A19,'SKU_Profitability'!$AL$2:$AL$25,0))</x:f>
        <x:v>PROTECT &amp; GROW</x:v>
      </x:c>
      <x:c r="N19" s="8" t="str">
        <x:f>IF(M19="DATA REVIEW","Which cost, time or sales input is missing?",IF(M19="STRATEGIC REVIEW","What customer or portfolio role justifies the economics?",IF(M19="IMMEDIATE REVIEW","Can price, cost or service terms eliminate the loss?",IF(M19="CAPACITY DRAG","Can throughput improve or constrained time shift to stronger work?",IF(M19="PRICE / COST REVIEW","Which price, material or conversion lever closes the gap?",IF(M19="BATCH / MOQ REVIEW","Can MOQ, campaign size or changeover time improve?",IF(M19="PROTECT &amp; GROW","How do we protect price while adding qualified volume?","Are mix and cost trends staying within target?")))))))</x:f>
        <x:v>How do we protect price while adding qualified volume?</x:v>
      </x:c>
    </x:row>
    <x:row r="20">
      <x:c r="A20" s="95" t="n">
        <x:v>19</x:v>
      </x:c>
      <x:c r="B20" s="7" t="str">
        <x:f>INDEX('SKU_Profitability'!$A$2:$A$25,MATCH(A20,'SKU_Profitability'!$AL$2:$AL$25,0))</x:f>
        <x:v>FG-017</x:v>
      </x:c>
      <x:c r="C20" s="7" t="str">
        <x:f>INDEX('SKU_Profitability'!$B$2:$B$25,MATCH(A20,'SKU_Profitability'!$AL$2:$AL$25,0))</x:f>
        <x:v>Prime Gray Product</x:v>
      </x:c>
      <x:c r="D20" s="7" t="str">
        <x:f>INDEX('SKU_Profitability'!$C$2:$C$25,MATCH(A20,'SKU_Profitability'!$AL$2:$AL$25,0))</x:f>
        <x:v>Prime</x:v>
      </x:c>
      <x:c r="E20" s="7" t="str">
        <x:f>INDEX('SKU_Profitability'!$D$2:$D$25,MATCH(A20,'SKU_Profitability'!$AL$2:$AL$25,0))</x:f>
        <x:v>Line 1</x:v>
      </x:c>
      <x:c r="F20" s="7" t="str">
        <x:f>INDEX('SKU_Profitability'!$E$2:$E$25,MATCH(A20,'SKU_Profitability'!$AL$2:$AL$25,0))</x:f>
        <x:v>No</x:v>
      </x:c>
      <x:c r="G20" s="24" t="n">
        <x:f>INDEX('SKU_Profitability'!$F$2:$F$25,MATCH(A20,'SKU_Profitability'!$AL$2:$AL$25,0))</x:f>
        <x:v>5250</x:v>
      </x:c>
      <x:c r="H20" s="26" t="n">
        <x:f>INDEX('SKU_Profitability'!$J$2:$J$25,MATCH(A20,'SKU_Profitability'!$AL$2:$AL$25,0))</x:f>
        <x:v>120191.08695162887</x:v>
      </x:c>
      <x:c r="I20" s="26" t="n">
        <x:f>INDEX('SKU_Profitability'!$T$2:$T$25,MATCH(A20,'SKU_Profitability'!$AL$2:$AL$25,0))</x:f>
        <x:v>48341.33250631303</x:v>
      </x:c>
      <x:c r="J20" s="30" t="n">
        <x:f>INDEX('SKU_Profitability'!$U$2:$U$25,MATCH(A20,'SKU_Profitability'!$AL$2:$AL$25,0))</x:f>
        <x:v>0.4022039714622774</x:v>
      </x:c>
      <x:c r="K20" s="26" t="n">
        <x:f>INDEX('SKU_Profitability'!$W$2:$W$25,MATCH(A20,'SKU_Profitability'!$AL$2:$AL$25,0))</x:f>
        <x:v>750.933320486416</x:v>
      </x:c>
      <x:c r="L20" s="26" t="n">
        <x:f>INDEX('SKU_Profitability'!$AG$2:$AG$25,MATCH(A20,'SKU_Profitability'!$AL$2:$AL$25,0))</x:f>
        <x:v>0</x:v>
      </x:c>
      <x:c r="M20" s="7" t="str">
        <x:f>INDEX('SKU_Profitability'!$AI$2:$AI$25,MATCH(A20,'SKU_Profitability'!$AL$2:$AL$25,0))</x:f>
        <x:v>PROTECT &amp; GROW</x:v>
      </x:c>
      <x:c r="N20" s="8" t="str">
        <x:f>IF(M20="DATA REVIEW","Which cost, time or sales input is missing?",IF(M20="STRATEGIC REVIEW","What customer or portfolio role justifies the economics?",IF(M20="IMMEDIATE REVIEW","Can price, cost or service terms eliminate the loss?",IF(M20="CAPACITY DRAG","Can throughput improve or constrained time shift to stronger work?",IF(M20="PRICE / COST REVIEW","Which price, material or conversion lever closes the gap?",IF(M20="BATCH / MOQ REVIEW","Can MOQ, campaign size or changeover time improve?",IF(M20="PROTECT &amp; GROW","How do we protect price while adding qualified volume?","Are mix and cost trends staying within target?")))))))</x:f>
        <x:v>How do we protect price while adding qualified volume?</x:v>
      </x:c>
    </x:row>
    <x:row r="21">
      <x:c r="A21" s="95" t="n">
        <x:v>20</x:v>
      </x:c>
      <x:c r="B21" s="7" t="str">
        <x:f>INDEX('SKU_Profitability'!$A$2:$A$25,MATCH(A21,'SKU_Profitability'!$AL$2:$AL$25,0))</x:f>
        <x:v>FG-011</x:v>
      </x:c>
      <x:c r="C21" s="7" t="str">
        <x:f>INDEX('SKU_Profitability'!$B$2:$B$25,MATCH(A21,'SKU_Profitability'!$AL$2:$AL$25,0))</x:f>
        <x:v>Guard Gray Product</x:v>
      </x:c>
      <x:c r="D21" s="7" t="str">
        <x:f>INDEX('SKU_Profitability'!$C$2:$C$25,MATCH(A21,'SKU_Profitability'!$AL$2:$AL$25,0))</x:f>
        <x:v>Guard</x:v>
      </x:c>
      <x:c r="E21" s="7" t="str">
        <x:f>INDEX('SKU_Profitability'!$D$2:$D$25,MATCH(A21,'SKU_Profitability'!$AL$2:$AL$25,0))</x:f>
        <x:v>Line 2</x:v>
      </x:c>
      <x:c r="F21" s="7" t="str">
        <x:f>INDEX('SKU_Profitability'!$E$2:$E$25,MATCH(A21,'SKU_Profitability'!$AL$2:$AL$25,0))</x:f>
        <x:v>No</x:v>
      </x:c>
      <x:c r="G21" s="24" t="n">
        <x:f>INDEX('SKU_Profitability'!$F$2:$F$25,MATCH(A21,'SKU_Profitability'!$AL$2:$AL$25,0))</x:f>
        <x:v>5010</x:v>
      </x:c>
      <x:c r="H21" s="26" t="n">
        <x:f>INDEX('SKU_Profitability'!$J$2:$J$25,MATCH(A21,'SKU_Profitability'!$AL$2:$AL$25,0))</x:f>
        <x:v>118976.46751339096</x:v>
      </x:c>
      <x:c r="I21" s="26" t="n">
        <x:f>INDEX('SKU_Profitability'!$T$2:$T$25,MATCH(A21,'SKU_Profitability'!$AL$2:$AL$25,0))</x:f>
        <x:v>51712.80780133923</x:v>
      </x:c>
      <x:c r="J21" s="30" t="n">
        <x:f>INDEX('SKU_Profitability'!$U$2:$U$25,MATCH(A21,'SKU_Profitability'!$AL$2:$AL$25,0))</x:f>
        <x:v>0.4346473624754314</x:v>
      </x:c>
      <x:c r="K21" s="26" t="n">
        <x:f>INDEX('SKU_Profitability'!$W$2:$W$25,MATCH(A21,'SKU_Profitability'!$AL$2:$AL$25,0))</x:f>
        <x:v>841.7874649366307</x:v>
      </x:c>
      <x:c r="L21" s="26" t="n">
        <x:f>INDEX('SKU_Profitability'!$AG$2:$AG$25,MATCH(A21,'SKU_Profitability'!$AL$2:$AL$25,0))</x:f>
        <x:v>0</x:v>
      </x:c>
      <x:c r="M21" s="7" t="str">
        <x:f>INDEX('SKU_Profitability'!$AI$2:$AI$25,MATCH(A21,'SKU_Profitability'!$AL$2:$AL$25,0))</x:f>
        <x:v>PROTECT &amp; GROW</x:v>
      </x:c>
      <x:c r="N21" s="8" t="str">
        <x:f>IF(M21="DATA REVIEW","Which cost, time or sales input is missing?",IF(M21="STRATEGIC REVIEW","What customer or portfolio role justifies the economics?",IF(M21="IMMEDIATE REVIEW","Can price, cost or service terms eliminate the loss?",IF(M21="CAPACITY DRAG","Can throughput improve or constrained time shift to stronger work?",IF(M21="PRICE / COST REVIEW","Which price, material or conversion lever closes the gap?",IF(M21="BATCH / MOQ REVIEW","Can MOQ, campaign size or changeover time improve?",IF(M21="PROTECT &amp; GROW","How do we protect price while adding qualified volume?","Are mix and cost trends staying within target?")))))))</x:f>
        <x:v>How do we protect price while adding qualified volume?</x:v>
      </x:c>
    </x:row>
    <x:row r="22">
      <x:c r="A22" s="95" t="n">
        <x:v>21</x:v>
      </x:c>
      <x:c r="B22" s="7" t="str">
        <x:f>INDEX('SKU_Profitability'!$A$2:$A$25,MATCH(A22,'SKU_Profitability'!$AL$2:$AL$25,0))</x:f>
        <x:v>FG-004</x:v>
      </x:c>
      <x:c r="C22" s="7" t="str">
        <x:f>INDEX('SKU_Profitability'!$B$2:$B$25,MATCH(A22,'SKU_Profitability'!$AL$2:$AL$25,0))</x:f>
        <x:v>Shield Blue Product</x:v>
      </x:c>
      <x:c r="D22" s="7" t="str">
        <x:f>INDEX('SKU_Profitability'!$C$2:$C$25,MATCH(A22,'SKU_Profitability'!$AL$2:$AL$25,0))</x:f>
        <x:v>Shield</x:v>
      </x:c>
      <x:c r="E22" s="7" t="str">
        <x:f>INDEX('SKU_Profitability'!$D$2:$D$25,MATCH(A22,'SKU_Profitability'!$AL$2:$AL$25,0))</x:f>
        <x:v>Line 1</x:v>
      </x:c>
      <x:c r="F22" s="7" t="str">
        <x:f>INDEX('SKU_Profitability'!$E$2:$E$25,MATCH(A22,'SKU_Profitability'!$AL$2:$AL$25,0))</x:f>
        <x:v>No</x:v>
      </x:c>
      <x:c r="G22" s="24" t="n">
        <x:f>INDEX('SKU_Profitability'!$F$2:$F$25,MATCH(A22,'SKU_Profitability'!$AL$2:$AL$25,0))</x:f>
        <x:v>5760</x:v>
      </x:c>
      <x:c r="H22" s="26" t="n">
        <x:f>INDEX('SKU_Profitability'!$J$2:$J$25,MATCH(A22,'SKU_Profitability'!$AL$2:$AL$25,0))</x:f>
        <x:v>169346.09876459942</x:v>
      </x:c>
      <x:c r="I22" s="26" t="n">
        <x:f>INDEX('SKU_Profitability'!$T$2:$T$25,MATCH(A22,'SKU_Profitability'!$AL$2:$AL$25,0))</x:f>
        <x:v>74066.83716740807</x:v>
      </x:c>
      <x:c r="J22" s="30" t="n">
        <x:f>INDEX('SKU_Profitability'!$U$2:$U$25,MATCH(A22,'SKU_Profitability'!$AL$2:$AL$25,0))</x:f>
        <x:v>0.4373696099746894</x:v>
      </x:c>
      <x:c r="K22" s="26" t="n">
        <x:f>INDEX('SKU_Profitability'!$W$2:$W$25,MATCH(A22,'SKU_Profitability'!$AL$2:$AL$25,0))</x:f>
        <x:v>1048.680946949548</x:v>
      </x:c>
      <x:c r="L22" s="26" t="n">
        <x:f>INDEX('SKU_Profitability'!$AG$2:$AG$25,MATCH(A22,'SKU_Profitability'!$AL$2:$AL$25,0))</x:f>
        <x:v>0</x:v>
      </x:c>
      <x:c r="M22" s="7" t="str">
        <x:f>INDEX('SKU_Profitability'!$AI$2:$AI$25,MATCH(A22,'SKU_Profitability'!$AL$2:$AL$25,0))</x:f>
        <x:v>PROTECT &amp; GROW</x:v>
      </x:c>
      <x:c r="N22" s="8" t="str">
        <x:f>IF(M22="DATA REVIEW","Which cost, time or sales input is missing?",IF(M22="STRATEGIC REVIEW","What customer or portfolio role justifies the economics?",IF(M22="IMMEDIATE REVIEW","Can price, cost or service terms eliminate the loss?",IF(M22="CAPACITY DRAG","Can throughput improve or constrained time shift to stronger work?",IF(M22="PRICE / COST REVIEW","Which price, material or conversion lever closes the gap?",IF(M22="BATCH / MOQ REVIEW","Can MOQ, campaign size or changeover time improve?",IF(M22="PROTECT &amp; GROW","How do we protect price while adding qualified volume?","Are mix and cost trends staying within target?")))))))</x:f>
        <x:v>How do we protect price while adding qualified volume?</x:v>
      </x:c>
    </x:row>
    <x:row r="23">
      <x:c r="A23" s="95" t="n">
        <x:v>22</x:v>
      </x:c>
      <x:c r="B23" s="7" t="str">
        <x:f>INDEX('SKU_Profitability'!$A$2:$A$25,MATCH(A23,'SKU_Profitability'!$AL$2:$AL$25,0))</x:f>
        <x:v>FG-021</x:v>
      </x:c>
      <x:c r="C23" s="7" t="str">
        <x:f>INDEX('SKU_Profitability'!$B$2:$B$25,MATCH(A23,'SKU_Profitability'!$AL$2:$AL$25,0))</x:f>
        <x:v>Flex Tan Product</x:v>
      </x:c>
      <x:c r="D23" s="7" t="str">
        <x:f>INDEX('SKU_Profitability'!$C$2:$C$25,MATCH(A23,'SKU_Profitability'!$AL$2:$AL$25,0))</x:f>
        <x:v>Flex</x:v>
      </x:c>
      <x:c r="E23" s="7" t="str">
        <x:f>INDEX('SKU_Profitability'!$D$2:$D$25,MATCH(A23,'SKU_Profitability'!$AL$2:$AL$25,0))</x:f>
        <x:v>Line 2</x:v>
      </x:c>
      <x:c r="F23" s="7" t="str">
        <x:f>INDEX('SKU_Profitability'!$E$2:$E$25,MATCH(A23,'SKU_Profitability'!$AL$2:$AL$25,0))</x:f>
        <x:v>No</x:v>
      </x:c>
      <x:c r="G23" s="24" t="n">
        <x:f>INDEX('SKU_Profitability'!$F$2:$F$25,MATCH(A23,'SKU_Profitability'!$AL$2:$AL$25,0))</x:f>
        <x:v>3370</x:v>
      </x:c>
      <x:c r="H23" s="26" t="n">
        <x:f>INDEX('SKU_Profitability'!$J$2:$J$25,MATCH(A23,'SKU_Profitability'!$AL$2:$AL$25,0))</x:f>
        <x:v>78048.6880554044</x:v>
      </x:c>
      <x:c r="I23" s="26" t="n">
        <x:f>INDEX('SKU_Profitability'!$T$2:$T$25,MATCH(A23,'SKU_Profitability'!$AL$2:$AL$25,0))</x:f>
        <x:v>24581.467963707095</x:v>
      </x:c>
      <x:c r="J23" s="30" t="n">
        <x:f>INDEX('SKU_Profitability'!$U$2:$U$25,MATCH(A23,'SKU_Profitability'!$AL$2:$AL$25,0))</x:f>
        <x:v>0.3149504312776847</x:v>
      </x:c>
      <x:c r="K23" s="26" t="n">
        <x:f>INDEX('SKU_Profitability'!$W$2:$W$25,MATCH(A23,'SKU_Profitability'!$AL$2:$AL$25,0))</x:f>
        <x:v>219.09999930512927</x:v>
      </x:c>
      <x:c r="L23" s="26" t="n">
        <x:f>INDEX('SKU_Profitability'!$AG$2:$AG$25,MATCH(A23,'SKU_Profitability'!$AL$2:$AL$25,0))</x:f>
        <x:v>0</x:v>
      </x:c>
      <x:c r="M23" s="7" t="str">
        <x:f>INDEX('SKU_Profitability'!$AI$2:$AI$25,MATCH(A23,'SKU_Profitability'!$AL$2:$AL$25,0))</x:f>
        <x:v>MONITOR</x:v>
      </x:c>
      <x:c r="N23" s="8" t="str">
        <x:f>IF(M23="DATA REVIEW","Which cost, time or sales input is missing?",IF(M23="STRATEGIC REVIEW","What customer or portfolio role justifies the economics?",IF(M23="IMMEDIATE REVIEW","Can price, cost or service terms eliminate the loss?",IF(M23="CAPACITY DRAG","Can throughput improve or constrained time shift to stronger work?",IF(M23="PRICE / COST REVIEW","Which price, material or conversion lever closes the gap?",IF(M23="BATCH / MOQ REVIEW","Can MOQ, campaign size or changeover time improve?",IF(M23="PROTECT &amp; GROW","How do we protect price while adding qualified volume?","Are mix and cost trends staying within target?")))))))</x:f>
        <x:v>Are mix and cost trends staying within target?</x:v>
      </x:c>
    </x:row>
    <x:row r="24">
      <x:c r="A24" s="95" t="n">
        <x:v>23</x:v>
      </x:c>
      <x:c r="B24" s="7" t="str">
        <x:f>INDEX('SKU_Profitability'!$A$2:$A$25,MATCH(A24,'SKU_Profitability'!$AL$2:$AL$25,0))</x:f>
        <x:v>FG-012</x:v>
      </x:c>
      <x:c r="C24" s="7" t="str">
        <x:f>INDEX('SKU_Profitability'!$B$2:$B$25,MATCH(A24,'SKU_Profitability'!$AL$2:$AL$25,0))</x:f>
        <x:v>Guard Red Product</x:v>
      </x:c>
      <x:c r="D24" s="7" t="str">
        <x:f>INDEX('SKU_Profitability'!$C$2:$C$25,MATCH(A24,'SKU_Profitability'!$AL$2:$AL$25,0))</x:f>
        <x:v>Guard</x:v>
      </x:c>
      <x:c r="E24" s="7" t="str">
        <x:f>INDEX('SKU_Profitability'!$D$2:$D$25,MATCH(A24,'SKU_Profitability'!$AL$2:$AL$25,0))</x:f>
        <x:v>Line 2</x:v>
      </x:c>
      <x:c r="F24" s="7" t="str">
        <x:f>INDEX('SKU_Profitability'!$E$2:$E$25,MATCH(A24,'SKU_Profitability'!$AL$2:$AL$25,0))</x:f>
        <x:v>No</x:v>
      </x:c>
      <x:c r="G24" s="24" t="n">
        <x:f>INDEX('SKU_Profitability'!$F$2:$F$25,MATCH(A24,'SKU_Profitability'!$AL$2:$AL$25,0))</x:f>
        <x:v>3540</x:v>
      </x:c>
      <x:c r="H24" s="26" t="n">
        <x:f>INDEX('SKU_Profitability'!$J$2:$J$25,MATCH(A24,'SKU_Profitability'!$AL$2:$AL$25,0))</x:f>
        <x:v>80423.05173343915</x:v>
      </x:c>
      <x:c r="I24" s="26" t="n">
        <x:f>INDEX('SKU_Profitability'!$T$2:$T$25,MATCH(A24,'SKU_Profitability'!$AL$2:$AL$25,0))</x:f>
        <x:v>27998.76820472545</x:v>
      </x:c>
      <x:c r="J24" s="30" t="n">
        <x:f>INDEX('SKU_Profitability'!$U$2:$U$25,MATCH(A24,'SKU_Profitability'!$AL$2:$AL$25,0))</x:f>
        <x:v>0.3481435683083365</x:v>
      </x:c>
      <x:c r="K24" s="26" t="n">
        <x:f>INDEX('SKU_Profitability'!$W$2:$W$25,MATCH(A24,'SKU_Profitability'!$AL$2:$AL$25,0))</x:f>
        <x:v>373.66566401608765</x:v>
      </x:c>
      <x:c r="L24" s="26" t="n">
        <x:f>INDEX('SKU_Profitability'!$AG$2:$AG$25,MATCH(A24,'SKU_Profitability'!$AL$2:$AL$25,0))</x:f>
        <x:v>0</x:v>
      </x:c>
      <x:c r="M24" s="7" t="str">
        <x:f>INDEX('SKU_Profitability'!$AI$2:$AI$25,MATCH(A24,'SKU_Profitability'!$AL$2:$AL$25,0))</x:f>
        <x:v>MONITOR</x:v>
      </x:c>
      <x:c r="N24" s="8" t="str">
        <x:f>IF(M24="DATA REVIEW","Which cost, time or sales input is missing?",IF(M24="STRATEGIC REVIEW","What customer or portfolio role justifies the economics?",IF(M24="IMMEDIATE REVIEW","Can price, cost or service terms eliminate the loss?",IF(M24="CAPACITY DRAG","Can throughput improve or constrained time shift to stronger work?",IF(M24="PRICE / COST REVIEW","Which price, material or conversion lever closes the gap?",IF(M24="BATCH / MOQ REVIEW","Can MOQ, campaign size or changeover time improve?",IF(M24="PROTECT &amp; GROW","How do we protect price while adding qualified volume?","Are mix and cost trends staying within target?")))))))</x:f>
        <x:v>Are mix and cost trends staying within target?</x:v>
      </x:c>
    </x:row>
    <x:row r="25">
      <x:c r="A25" s="96" t="n">
        <x:v>24</x:v>
      </x:c>
      <x:c r="B25" s="10" t="str">
        <x:f>INDEX('SKU_Profitability'!$A$2:$A$25,MATCH(A25,'SKU_Profitability'!$AL$2:$AL$25,0))</x:f>
        <x:v>FG-005</x:v>
      </x:c>
      <x:c r="C25" s="10" t="str">
        <x:f>INDEX('SKU_Profitability'!$B$2:$B$25,MATCH(A25,'SKU_Profitability'!$AL$2:$AL$25,0))</x:f>
        <x:v>Shield Gray Product</x:v>
      </x:c>
      <x:c r="D25" s="10" t="str">
        <x:f>INDEX('SKU_Profitability'!$C$2:$C$25,MATCH(A25,'SKU_Profitability'!$AL$2:$AL$25,0))</x:f>
        <x:v>Shield</x:v>
      </x:c>
      <x:c r="E25" s="10" t="str">
        <x:f>INDEX('SKU_Profitability'!$D$2:$D$25,MATCH(A25,'SKU_Profitability'!$AL$2:$AL$25,0))</x:f>
        <x:v>Line 1</x:v>
      </x:c>
      <x:c r="F25" s="10" t="str">
        <x:f>INDEX('SKU_Profitability'!$E$2:$E$25,MATCH(A25,'SKU_Profitability'!$AL$2:$AL$25,0))</x:f>
        <x:v>No</x:v>
      </x:c>
      <x:c r="G25" s="25" t="n">
        <x:f>INDEX('SKU_Profitability'!$F$2:$F$25,MATCH(A25,'SKU_Profitability'!$AL$2:$AL$25,0))</x:f>
        <x:v>4050</x:v>
      </x:c>
      <x:c r="H25" s="28" t="n">
        <x:f>INDEX('SKU_Profitability'!$J$2:$J$25,MATCH(A25,'SKU_Profitability'!$AL$2:$AL$25,0))</x:f>
        <x:v>107183.2061031619</x:v>
      </x:c>
      <x:c r="I25" s="28" t="n">
        <x:f>INDEX('SKU_Profitability'!$T$2:$T$25,MATCH(A25,'SKU_Profitability'!$AL$2:$AL$25,0))</x:f>
        <x:v>32966.46218049233</x:v>
      </x:c>
      <x:c r="J25" s="31" t="n">
        <x:f>INDEX('SKU_Profitability'!$U$2:$U$25,MATCH(A25,'SKU_Profitability'!$AL$2:$AL$25,0))</x:f>
        <x:v>0.3075711520400193</x:v>
      </x:c>
      <x:c r="K25" s="28" t="n">
        <x:f>INDEX('SKU_Profitability'!$W$2:$W$25,MATCH(A25,'SKU_Profitability'!$AL$2:$AL$25,0))</x:f>
        <x:v>178.08278297305017</x:v>
      </x:c>
      <x:c r="L25" s="28" t="n">
        <x:f>INDEX('SKU_Profitability'!$AG$2:$AG$25,MATCH(A25,'SKU_Profitability'!$AL$2:$AL$25,0))</x:f>
        <x:v>0</x:v>
      </x:c>
      <x:c r="M25" s="10" t="str">
        <x:f>INDEX('SKU_Profitability'!$AI$2:$AI$25,MATCH(A25,'SKU_Profitability'!$AL$2:$AL$25,0))</x:f>
        <x:v>MONITOR</x:v>
      </x:c>
      <x:c r="N25" s="11" t="str">
        <x:f>IF(M25="DATA REVIEW","Which cost, time or sales input is missing?",IF(M25="STRATEGIC REVIEW","What customer or portfolio role justifies the economics?",IF(M25="IMMEDIATE REVIEW","Can price, cost or service terms eliminate the loss?",IF(M25="CAPACITY DRAG","Can throughput improve or constrained time shift to stronger work?",IF(M25="PRICE / COST REVIEW","Which price, material or conversion lever closes the gap?",IF(M25="BATCH / MOQ REVIEW","Can MOQ, campaign size or changeover time improve?",IF(M25="PROTECT &amp; GROW","How do we protect price while adding qualified volume?","Are mix and cost trends staying within target?")))))))</x:f>
        <x:v>Are mix and cost trends staying within target?</x:v>
      </x:c>
    </x:row>
  </x:sheetData>
  <x:conditionalFormatting sqref="M2:M25">
    <x:cfRule type="containsText" dxfId="5" priority="1" operator="containsText" text="IMMEDIATE"/>
    <x:cfRule type="containsText" dxfId="6" priority="2" operator="containsText" text="PROTECT"/>
  </x:conditionalFormatting>
  <x:pageMargins left="0.7" right="0.7" top="0.75" bottom="0.75" header="0.3" footer="0.3"/>
  <x:tableParts count="1">
    <x:tablePart xmlns:r="http://schemas.openxmlformats.org/officeDocument/2006/relationships" r:id="R546f1f0779564192"/>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31" hidden="0" customWidth="1"/>
    <x:col min="2" max="2" width="18" hidden="0" customWidth="1"/>
    <x:col min="3" max="3" width="18" hidden="0" customWidth="1"/>
    <x:col min="4" max="4" width="16" hidden="0" customWidth="1"/>
    <x:col min="5" max="5" width="12" hidden="0" customWidth="1"/>
    <x:col min="6" max="6" width="37" hidden="0" customWidth="1"/>
    <x:col min="7" max="7" width="53" hidden="0" customWidth="1"/>
  </x:cols>
  <x:sheetData>
    <x:row r="1" ht="34" customHeight="1">
      <x:c r="A1" s="41" t="str">
        <x:v>CB3 WORKS  |  DEMO 03 — MODEL CHECKS</x:v>
      </x:c>
      <x:c r="B1" s="41"/>
      <x:c r="C1" s="41"/>
      <x:c r="D1" s="41"/>
      <x:c r="E1" s="41"/>
      <x:c r="F1" s="41"/>
      <x:c r="G1" s="41"/>
    </x:row>
    <x:row r="3" ht="22" customHeight="1">
      <x:c r="A3" s="44" t="str">
        <x:v>PASS MEANS THE SYNTHETIC MODEL RECONCILES; CLIENT OUTPUTS STILL REQUIRE CLIENT REVIEW</x:v>
      </x:c>
      <x:c r="B3" s="44"/>
      <x:c r="C3" s="44"/>
      <x:c r="D3" s="44"/>
      <x:c r="E3" s="44"/>
      <x:c r="F3" s="44"/>
      <x:c r="G3" s="44"/>
    </x:row>
    <x:row r="5">
      <x:c r="A5" s="40" t="str">
        <x:v>MODEL STATUS</x:v>
      </x:c>
      <x:c r="B5" s="40" t="str">
        <x:f>IF(COUNTIF(E8:E20,"FAIL")=0,"PASS","FAIL")</x:f>
        <x:v>PASS</x:v>
      </x:c>
    </x:row>
    <x:row r="7" ht="26" customHeight="1">
      <x:c r="A7" s="46" t="str">
        <x:v>Check</x:v>
      </x:c>
      <x:c r="B7" s="46" t="str">
        <x:v>Actual</x:v>
      </x:c>
      <x:c r="C7" s="46" t="str">
        <x:v>Expected</x:v>
      </x:c>
      <x:c r="D7" s="46" t="str">
        <x:v>Delta</x:v>
      </x:c>
      <x:c r="E7" s="46" t="str">
        <x:v>Status</x:v>
      </x:c>
      <x:c r="F7" s="46" t="str">
        <x:v>Where to fix</x:v>
      </x:c>
      <x:c r="G7" s="46" t="str">
        <x:v>Notes</x:v>
      </x:c>
    </x:row>
    <x:row r="8" ht="26" customHeight="1">
      <x:c r="A8" s="48" t="str">
        <x:v>Net sales reconcile</x:v>
      </x:c>
      <x:c r="B8" s="97" t="n">
        <x:f>SUMIFS('Sales_Detail'!$I$2:$I$289,'Sales_Detail'!$A$2:$A$289,"&gt;="&amp;'Cost_Assumptions'!$B$6,'Sales_Detail'!$A$2:$A$289,"&lt;="&amp;'Cost_Assumptions'!$B$7)</x:f>
        <x:v>1599296.505589953</x:v>
      </x:c>
      <x:c r="C8" s="97" t="n">
        <x:f>SUM('SKU_Profitability'!$J$2:$J$25)</x:f>
        <x:v>1599296.5055899522</x:v>
      </x:c>
      <x:c r="D8" s="97" t="n">
        <x:f>B8-C8</x:f>
        <x:v>6.984919309616089e-10</x:v>
      </x:c>
      <x:c r="E8" s="52" t="str">
        <x:f>IF(ABS(D8)&lt;=0.01,"PASS","FAIL")</x:f>
        <x:v>PASS</x:v>
      </x:c>
      <x:c r="F8" s="52" t="str">
        <x:v>Sales_Detail / SKU_Profitability</x:v>
      </x:c>
      <x:c r="G8" s="52" t="str">
        <x:v>Transaction total equals SKU rollup</x:v>
      </x:c>
    </x:row>
    <x:row r="9" ht="26" customHeight="1">
      <x:c r="A9" s="48" t="str">
        <x:v>Units reconcile</x:v>
      </x:c>
      <x:c r="B9" s="99" t="n">
        <x:f>SUMIFS('Sales_Detail'!$E$2:$E$289,'Sales_Detail'!$A$2:$A$289,"&gt;="&amp;'Cost_Assumptions'!$B$6,'Sales_Detail'!$A$2:$A$289,"&lt;="&amp;'Cost_Assumptions'!$B$7)</x:f>
        <x:v>66480</x:v>
      </x:c>
      <x:c r="C9" s="99" t="n">
        <x:f>SUM('SKU_Profitability'!$F$2:$F$25)</x:f>
        <x:v>66480</x:v>
      </x:c>
      <x:c r="D9" s="99" t="n">
        <x:f>B9-C9</x:f>
        <x:v>0</x:v>
      </x:c>
      <x:c r="E9" s="52" t="str">
        <x:f>IF(ABS(D9)&lt;=0.01,"PASS","FAIL")</x:f>
        <x:v>PASS</x:v>
      </x:c>
      <x:c r="F9" s="52" t="str">
        <x:v>Sales_Detail / SKU_Profitability</x:v>
      </x:c>
      <x:c r="G9" s="52" t="str">
        <x:v>Units shipped equal SKU rollup</x:v>
      </x:c>
    </x:row>
    <x:row r="10" ht="26" customHeight="1">
      <x:c r="A10" s="48" t="str">
        <x:v>Contribution equation cross-foot</x:v>
      </x:c>
      <x:c r="B10" s="97" t="n">
        <x:f>SUM('SKU_Profitability'!$T$2:$T$25)</x:f>
        <x:v>487975.2077131471</x:v>
      </x:c>
      <x:c r="C10" s="97" t="n">
        <x:f>SUM('SKU_Profitability'!$J$2:$J$25)-SUM('SKU_Profitability'!$L$2:$L$25)-SUM('SKU_Profitability'!$M$2:$M$25)-SUM('SKU_Profitability'!$R$2:$R$25)-SUM('SKU_Profitability'!$S$2:$S$25)</x:f>
        <x:v>487975.2077131468</x:v>
      </x:c>
      <x:c r="D10" s="97" t="n">
        <x:f>B10-C10</x:f>
        <x:v>2.9103830456733704e-10</x:v>
      </x:c>
      <x:c r="E10" s="52" t="str">
        <x:f>IF(ABS(D10)&lt;=0.01,"PASS","FAIL")</x:f>
        <x:v>PASS</x:v>
      </x:c>
      <x:c r="F10" s="52" t="str">
        <x:v>SKU_Profitability</x:v>
      </x:c>
      <x:c r="G10" s="52" t="str">
        <x:v>Net sales less freight, fees, material and variable conversion</x:v>
      </x:c>
    </x:row>
    <x:row r="11" ht="26" customHeight="1">
      <x:c r="A11" s="48" t="str">
        <x:v>Gross profit equation cross-foot</x:v>
      </x:c>
      <x:c r="B11" s="97" t="n">
        <x:f>SUM('SKU_Profitability'!$Z$2:$Z$25)</x:f>
        <x:v>697408.668342937</x:v>
      </x:c>
      <x:c r="C11" s="97" t="n">
        <x:f>SUM('SKU_Profitability'!$J$2:$J$25)-SUM('SKU_Profitability'!$Y$2:$Y$25)</x:f>
        <x:v>697408.6683429369</x:v>
      </x:c>
      <x:c r="D11" s="97" t="n">
        <x:f>B11-C11</x:f>
        <x:v>1.1641532182693481e-10</x:v>
      </x:c>
      <x:c r="E11" s="52" t="str">
        <x:f>IF(ABS(D11)&lt;=0.01,"PASS","FAIL")</x:f>
        <x:v>PASS</x:v>
      </x:c>
      <x:c r="F11" s="52" t="str">
        <x:v>SKU_Profitability</x:v>
      </x:c>
      <x:c r="G11" s="52" t="str">
        <x:v>Net sales less manufacturing COGS</x:v>
      </x:c>
    </x:row>
    <x:row r="12" ht="26" customHeight="1">
      <x:c r="A12" s="48" t="str">
        <x:v>SKU count complete</x:v>
      </x:c>
      <x:c r="B12" s="99" t="n">
        <x:f>COUNTA('SKU_Profitability'!$A$2:$A$25)</x:f>
        <x:v>24</x:v>
      </x:c>
      <x:c r="C12" s="99" t="n">
        <x:f>COUNTA('Product_Master'!$A$2:$A$25)</x:f>
        <x:v>24</x:v>
      </x:c>
      <x:c r="D12" s="99" t="n">
        <x:f>B12-C12</x:f>
        <x:v>0</x:v>
      </x:c>
      <x:c r="E12" s="52" t="str">
        <x:f>IF(D12=0,"PASS","FAIL")</x:f>
        <x:v>PASS</x:v>
      </x:c>
      <x:c r="F12" s="52" t="str">
        <x:v>Product_Master</x:v>
      </x:c>
      <x:c r="G12" s="52" t="str">
        <x:v>Every master SKU has one profitability row</x:v>
      </x:c>
    </x:row>
    <x:row r="13" ht="26" customHeight="1">
      <x:c r="A13" s="48" t="str">
        <x:v>BOM coverage complete</x:v>
      </x:c>
      <x:c r="B13" s="99" t="n">
        <x:f>COUNTIF('Product_Master'!$L$2:$L$25,"&gt;0")</x:f>
        <x:v>24</x:v>
      </x:c>
      <x:c r="C13" s="99" t="n">
        <x:f>COUNTA('Product_Master'!$A$2:$A$25)</x:f>
        <x:v>24</x:v>
      </x:c>
      <x:c r="D13" s="99" t="n">
        <x:f>B13-C13</x:f>
        <x:v>0</x:v>
      </x:c>
      <x:c r="E13" s="52" t="str">
        <x:f>IF(D13=0,"PASS","FAIL")</x:f>
        <x:v>PASS</x:v>
      </x:c>
      <x:c r="F13" s="52" t="str">
        <x:v>BOM_Cost</x:v>
      </x:c>
      <x:c r="G13" s="52" t="str">
        <x:v>Every active SKU has costed BOM lines</x:v>
      </x:c>
    </x:row>
    <x:row r="14" ht="26" customHeight="1">
      <x:c r="A14" s="48" t="str">
        <x:v>Routing coverage complete</x:v>
      </x:c>
      <x:c r="B14" s="99" t="n">
        <x:f>COUNTIF('Product_Master'!$M$2:$M$25,"&gt;0")</x:f>
        <x:v>24</x:v>
      </x:c>
      <x:c r="C14" s="99" t="n">
        <x:f>COUNTA('Product_Master'!$A$2:$A$25)</x:f>
        <x:v>24</x:v>
      </x:c>
      <x:c r="D14" s="99" t="n">
        <x:f>B14-C14</x:f>
        <x:v>0</x:v>
      </x:c>
      <x:c r="E14" s="52" t="str">
        <x:f>IF(D14=0,"PASS","FAIL")</x:f>
        <x:v>PASS</x:v>
      </x:c>
      <x:c r="F14" s="52" t="str">
        <x:v>Routing</x:v>
      </x:c>
      <x:c r="G14" s="52" t="str">
        <x:v>Every active SKU has routing/time data</x:v>
      </x:c>
    </x:row>
    <x:row r="15" ht="26" customHeight="1">
      <x:c r="A15" s="48" t="str">
        <x:v>No unresolved data-quality flags</x:v>
      </x:c>
      <x:c r="B15" s="99" t="n">
        <x:f>COUNTIF('SKU_Profitability'!$AJ$2:$AJ$25,"REVIEW")</x:f>
        <x:v>0</x:v>
      </x:c>
      <x:c r="C15" s="99" t="n">
        <x:f>0</x:f>
        <x:v>0</x:v>
      </x:c>
      <x:c r="D15" s="99" t="n">
        <x:f>B15-C15</x:f>
        <x:v>0</x:v>
      </x:c>
      <x:c r="E15" s="52" t="str">
        <x:f>IF(D15=0,"PASS","FAIL")</x:f>
        <x:v>PASS</x:v>
      </x:c>
      <x:c r="F15" s="52" t="str">
        <x:v>SKU_Profitability</x:v>
      </x:c>
      <x:c r="G15" s="52" t="str">
        <x:v>No missing or zero critical inputs</x:v>
      </x:c>
    </x:row>
    <x:row r="16" ht="26" customHeight="1">
      <x:c r="A16" s="48" t="str">
        <x:v>OH pool control</x:v>
      </x:c>
      <x:c r="B16" s="97" t="n">
        <x:f>SUM('Cost_Assumptions'!$E$19:$E$20)+SUM('Cost_Assumptions'!$F$19:$F$20)</x:f>
        <x:v>2000000</x:v>
      </x:c>
      <x:c r="C16" s="97" t="n">
        <x:f>SUM('Cost_Assumptions'!$B$19:$B$20)</x:f>
        <x:v>2000000</x:v>
      </x:c>
      <x:c r="D16" s="97" t="n">
        <x:f>B16-C16</x:f>
        <x:v>0</x:v>
      </x:c>
      <x:c r="E16" s="52" t="str">
        <x:f>IF(ABS(D16)&lt;=0.01,"PASS","FAIL")</x:f>
        <x:v>PASS</x:v>
      </x:c>
      <x:c r="F16" s="52" t="str">
        <x:v>Cost_Assumptions / SKU_Profitability</x:v>
      </x:c>
      <x:c r="G16" s="52" t="str">
        <x:v>Applied OH + idle/unallocated OH equals pool</x:v>
      </x:c>
    </x:row>
    <x:row r="17" ht="26" customHeight="1">
      <x:c r="A17" s="48" t="str">
        <x:v>Customer-SKU sales reconcile</x:v>
      </x:c>
      <x:c r="B17" s="97" t="n">
        <x:f>SUM('Customer_SKU_Detail'!$E$2:$E$73)</x:f>
        <x:v>1599296.5055899532</x:v>
      </x:c>
      <x:c r="C17" s="97" t="n">
        <x:f>SUMIFS('Sales_Detail'!$I$2:$I$289,'Sales_Detail'!$A$2:$A$289,"&gt;="&amp;'Cost_Assumptions'!$B$6,'Sales_Detail'!$A$2:$A$289,"&lt;="&amp;'Cost_Assumptions'!$B$7)</x:f>
        <x:v>1599296.505589953</x:v>
      </x:c>
      <x:c r="D17" s="97" t="n">
        <x:f>B17-C17</x:f>
        <x:v>2.3283064365386963e-10</x:v>
      </x:c>
      <x:c r="E17" s="52" t="str">
        <x:f>IF(ABS(D17)&lt;=0.01,"PASS","FAIL")</x:f>
        <x:v>PASS</x:v>
      </x:c>
      <x:c r="F17" s="52" t="str">
        <x:v>Customer_SKU_Detail</x:v>
      </x:c>
      <x:c r="G17" s="52" t="str">
        <x:v>Customer-SKU detail equals transaction sales</x:v>
      </x:c>
    </x:row>
    <x:row r="18" ht="36" customHeight="1">
      <x:c r="A18" s="48" t="str">
        <x:v>Assumption bounds valid</x:v>
      </x:c>
      <x:c r="B18" s="99" t="n">
        <x:f>IF(AND('Cost_Assumptions'!$B$6&lt;='Cost_Assumptions'!$B$7,'Cost_Assumptions'!$B$8&gt;=0,'Cost_Assumptions'!$B$9&gt;=0,'Cost_Assumptions'!$B$9&lt;=1,'Cost_Assumptions'!$B$10&gt;=0,'Cost_Assumptions'!$B$11&gt;=0,'Cost_Assumptions'!$B$12&gt;=0,'Cost_Assumptions'!$B$12&lt;=1,'Cost_Assumptions'!$B$13&gt;0,'Cost_Assumptions'!$B$13&lt;1,'Cost_Assumptions'!$B$14&gt;=0,'Cost_Assumptions'!$B$14&lt;1,'Cost_Assumptions'!$B$15&gt;=0,'Cost_Assumptions'!$B$15&lt;=1,'Cost_Assumptions'!$B$19&gt;=0,'Cost_Assumptions'!$C$19&gt;0,'Cost_Assumptions'!$B$20&gt;=0,'Cost_Assumptions'!$C$20&gt;0),0,1)</x:f>
        <x:v>0</x:v>
      </x:c>
      <x:c r="C18" s="99" t="n">
        <x:f>0</x:f>
        <x:v>0</x:v>
      </x:c>
      <x:c r="D18" s="99" t="n">
        <x:f>B18-C18</x:f>
        <x:v>0</x:v>
      </x:c>
      <x:c r="E18" s="52" t="str">
        <x:f>IF(D18=0,"PASS","FAIL")</x:f>
        <x:v>PASS</x:v>
      </x:c>
      <x:c r="F18" s="52" t="str">
        <x:v>Cost_Assumptions</x:v>
      </x:c>
      <x:c r="G18" s="52" t="str">
        <x:v>Dates, rates and thresholds stay within usable decision-model bounds</x:v>
      </x:c>
    </x:row>
    <x:row r="19" ht="36" customHeight="1">
      <x:c r="A19" s="48" t="str">
        <x:v>SKU target margins valid</x:v>
      </x:c>
      <x:c r="B19" s="99" t="n">
        <x:f>COUNTIFS('Product_Master'!$G$2:$G$25,"&lt;&gt;",'Product_Master'!$G$2:$G$25,"&lt;=0")+COUNTIF('Product_Master'!$G$2:$G$25,"&gt;=1")</x:f>
        <x:v>0</x:v>
      </x:c>
      <x:c r="C19" s="99" t="n">
        <x:f>0</x:f>
        <x:v>0</x:v>
      </x:c>
      <x:c r="D19" s="99" t="n">
        <x:f>B19-C19</x:f>
        <x:v>0</x:v>
      </x:c>
      <x:c r="E19" s="52" t="str">
        <x:f>IF(D19=0,"PASS","FAIL")</x:f>
        <x:v>PASS</x:v>
      </x:c>
      <x:c r="F19" s="52" t="str">
        <x:v>Product_Master</x:v>
      </x:c>
      <x:c r="G19" s="52" t="str">
        <x:v>Blank targets use the default; populated targets must be greater than 0% and below 100%</x:v>
      </x:c>
    </x:row>
    <x:row r="20" ht="36" customHeight="1">
      <x:c r="A20" s="49" t="str">
        <x:v>OH capacity guard</x:v>
      </x:c>
      <x:c r="B20" s="100" t="n">
        <x:f>MAX(0,SUM('Cost_Assumptions'!$E$19:$E$20)-SUM('Cost_Assumptions'!$B$19:$B$20))+MAX(0,-MIN('Cost_Assumptions'!$F$19:$F$20))</x:f>
        <x:v>0</x:v>
      </x:c>
      <x:c r="C20" s="100" t="n">
        <x:f>0</x:f>
        <x:v>0</x:v>
      </x:c>
      <x:c r="D20" s="100" t="n">
        <x:f>B20-C20</x:f>
        <x:v>0</x:v>
      </x:c>
      <x:c r="E20" s="53" t="str">
        <x:f>IF(D20=0,"PASS","FAIL")</x:f>
        <x:v>PASS</x:v>
      </x:c>
      <x:c r="F20" s="53" t="str">
        <x:v>Cost_Assumptions / Routing</x:v>
      </x:c>
      <x:c r="G20" s="53" t="str">
        <x:v>Applied OH cannot exceed the line pools and idle OH cannot be negative</x:v>
      </x:c>
    </x:row>
    <x:row r="23" ht="22" customHeight="1">
      <x:c r="A23" s="88" t="str">
        <x:v>CB3 WORKS  |  MANUFACTURING DATA &amp; AUTOMATION  |  CB3WORKS.COM  |  SYNTHETIC DEMO 03</x:v>
      </x:c>
      <x:c r="B23" s="88"/>
      <x:c r="C23" s="88"/>
      <x:c r="D23" s="88"/>
      <x:c r="E23" s="88"/>
      <x:c r="F23" s="88"/>
      <x:c r="G23" s="88"/>
    </x:row>
  </x:sheetData>
  <x:mergeCells>
    <x:mergeCell ref="A1:G1"/>
    <x:mergeCell ref="A3:G3"/>
    <x:mergeCell ref="A23:G23"/>
  </x:mergeCells>
  <x:conditionalFormatting sqref="B5:B5">
    <x:cfRule type="containsText" dxfId="7" priority="1" operator="containsText" text="PASS"/>
    <x:cfRule type="containsText" dxfId="8" priority="2" operator="containsText" text="FAIL"/>
  </x:conditionalFormatting>
  <x:conditionalFormatting sqref="E8:E20">
    <x:cfRule type="containsText" dxfId="9" priority="3" operator="containsText" text="PASS"/>
    <x:cfRule type="containsText" dxfId="10" priority="4" operator="containsText" text="FAIL"/>
  </x:conditionalFormatting>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26" hidden="0" customWidth="1"/>
    <x:col min="2" max="2" width="96" hidden="0" customWidth="1"/>
  </x:cols>
  <x:sheetData>
    <x:row r="1" ht="34" customHeight="1">
      <x:c r="A1" s="41" t="str">
        <x:v>CB3 WORKS  |  DEMO 03 — SKU MARGIN &amp; PROFITABILITY INTELLIGENCE</x:v>
      </x:c>
      <x:c r="B1" s="41"/>
    </x:row>
    <x:row r="3" ht="22" customHeight="1">
      <x:c r="A3" s="44" t="str">
        <x:v>FIND WHAT MAKES MONEY, WHAT LEAKS MARGIN, AND WHAT MANAGEMENT QUESTION TO ASK</x:v>
      </x:c>
      <x:c r="B3" s="44"/>
    </x:row>
    <x:row r="5" ht="32" customHeight="1">
      <x:c r="A5" s="242" t="str">
        <x:v>Purpose</x:v>
      </x:c>
      <x:c r="B5" s="52" t="str">
        <x:v>Turn ordinary ERP sales, product, BOM, routing and cost-to-serve data into an auditable SKU contribution and product-mix view.</x:v>
      </x:c>
    </x:row>
    <x:row r="6" ht="32" customHeight="1">
      <x:c r="A6" s="242" t="str">
        <x:v>Scenario</x:v>
      </x:c>
      <x:c r="B6" s="52" t="str">
        <x:v>The same fictional 24-SKU manufacturer used in Demo 02, now analyzed over a synthetic trailing 12 months.</x:v>
      </x:c>
    </x:row>
    <x:row r="7" ht="32" customHeight="1">
      <x:c r="A7" s="242" t="str">
        <x:v>Demo connection</x:v>
      </x:c>
      <x:c r="B7" s="52" t="str">
        <x:v>Demo 02 answers: Can we make and deliver it? Demo 03 answers: Should we grow it, reprice it, improve it, or review it?</x:v>
      </x:c>
    </x:row>
    <x:row r="8" ht="32" customHeight="1">
      <x:c r="A8" s="242" t="str">
        <x:v>Sales_Detail</x:v>
      </x:c>
      <x:c r="B8" s="52" t="str">
        <x:v>Synthetic invoice lines with units, gross sales, discounts, returns/credits, outbound freight and commissions/fees.</x:v>
      </x:c>
    </x:row>
    <x:row r="9" ht="32" customHeight="1">
      <x:c r="A9" s="242" t="str">
        <x:v>Product_Master</x:v>
      </x:c>
      <x:c r="B9" s="52" t="str">
        <x:v>SKU family, production line, strategic designation, target contribution margin and standard batch size.</x:v>
      </x:c>
    </x:row>
    <x:row r="10" ht="32" customHeight="1">
      <x:c r="A10" s="242" t="str">
        <x:v>BOM_Cost</x:v>
      </x:c>
      <x:c r="B10" s="52" t="str">
        <x:v>Costed synthetic BOM components with quantity, standard cost and scrap/yield allowance.</x:v>
      </x:c>
    </x:row>
    <x:row r="11" ht="32" customHeight="1">
      <x:c r="A11" s="242" t="str">
        <x:v>Routing</x:v>
      </x:c>
      <x:c r="B11" s="52" t="str">
        <x:v>Setup, labor, machine and rework time translated into contribution-cost conversion, full manufacturing conversion, constrained hours and directional fixed OH.</x:v>
      </x:c>
    </x:row>
    <x:row r="12" ht="32" customHeight="1">
      <x:c r="A12" s="242" t="str">
        <x:v>Cost_Assumptions</x:v>
      </x:c>
      <x:c r="B12" s="52" t="str">
        <x:v>Active report-date filter plus visible decision-horizon labor behavior, variable rates, capacity thresholds and line-specific fixed-OH policy.</x:v>
      </x:c>
    </x:row>
    <x:row r="13" ht="32" customHeight="1">
      <x:c r="A13" s="242" t="str">
        <x:v>SKU_Profitability</x:v>
      </x:c>
      <x:c r="B13" s="52" t="str">
        <x:v>Formula-driven sales, gross profit, contribution, constrained-hour return, allocated result, target gap and action.</x:v>
      </x:c>
    </x:row>
    <x:row r="14" ht="32" customHeight="1">
      <x:c r="A14" s="242" t="str">
        <x:v>Customer_SKU_Detail</x:v>
      </x:c>
      <x:c r="B14" s="52" t="str">
        <x:v>Shows where customer price, freight or service economics differ from the SKU average.</x:v>
      </x:c>
    </x:row>
    <x:row r="15" ht="32" customHeight="1">
      <x:c r="A15" s="242" t="str">
        <x:v>Action_List</x:v>
      </x:c>
      <x:c r="B15" s="52" t="str">
        <x:v>Dynamically ranks management review priorities without automatically recommending discontinuation.</x:v>
      </x:c>
    </x:row>
    <x:row r="16" ht="32" customHeight="1">
      <x:c r="A16" s="242" t="str">
        <x:v>Action Sort Key</x:v>
      </x:c>
      <x:c r="B16" s="52" t="str">
        <x:v>Internal ranking aid only: category priority plus small opportunity and negative-contribution tie breakers. It is not a financial metric, forecast or valuation.</x:v>
      </x:c>
    </x:row>
    <x:row r="17" ht="32" customHeight="1">
      <x:c r="A17" s="242" t="str">
        <x:v>Checks</x:v>
      </x:c>
      <x:c r="B17" s="52" t="str">
        <x:v>Reconciles sales, units, contribution, gross profit, master-data coverage, overhead control and customer-SKU detail.</x:v>
      </x:c>
    </x:row>
    <x:row r="18" ht="32" customHeight="1">
      <x:c r="A18" s="242" t="str">
        <x:v>Contribution Margin</x:v>
      </x:c>
      <x:c r="B18" s="52" t="str">
        <x:v>Net sales less material, variable conversion, outbound freight and commission/fees. The visible factor controls only the direct-labor share included in contribution.</x:v>
      </x:c>
    </x:row>
    <x:row r="19" ht="32" customHeight="1">
      <x:c r="A19" s="242" t="str">
        <x:v>Gross Profit</x:v>
      </x:c>
      <x:c r="B19" s="52" t="str">
        <x:v>Net sales less manufacturing COGS, including full modeled direct labor and directional applied fixed manufacturing overhead; excludes freight and selling fees.</x:v>
      </x:c>
    </x:row>
    <x:row r="20" ht="32" customHeight="1">
      <x:c r="A20" s="242" t="str">
        <x:v>Allocated SKU Result</x:v>
      </x:c>
      <x:c r="B20" s="52" t="str">
        <x:v>Contribution margin less directional applied fixed manufacturing overhead. It is not labeled net profit.</x:v>
      </x:c>
    </x:row>
    <x:row r="21" ht="32" customHeight="1">
      <x:c r="A21" s="242" t="str">
        <x:v>Opportunity</x:v>
      </x:c>
      <x:c r="B21" s="52" t="str">
        <x:v>Price or cost-equivalent scenario required to reach the SKU target CM at current volume and costs; commission/fees scale at the observed rate. It is not guaranteed savings or a demand forecast.</x:v>
      </x:c>
    </x:row>
    <x:row r="22" ht="32" customHeight="1">
      <x:c r="A22" s="242" t="str">
        <x:v>Model basis</x:v>
      </x:c>
      <x:c r="B22" s="52" t="str">
        <x:v>Management contribution-margin analysis using synthetic sales, manufacturing-cost and cost-to-serve data. Costs and allocation methods are visible assumptions.</x:v>
      </x:c>
    </x:row>
    <x:row r="23" ht="32" customHeight="1">
      <x:c r="A23" s="242" t="str">
        <x:v>Scope boundary</x:v>
      </x:c>
      <x:c r="B23" s="52" t="str">
        <x:v>Decision-support estimate only—not GAAP, tax, audited product-cost accounting, or a replacement for the client ERP/finance record.</x:v>
      </x:c>
    </x:row>
    <x:row r="24" ht="32" customHeight="1">
      <x:c r="A24" s="242" t="str">
        <x:v>Overhead caution</x:v>
      </x:c>
      <x:c r="B24" s="52" t="str">
        <x:v>Allocated overhead is assumption-based and does not automatically disappear if a SKU is changed or discontinued. Contribution remains separately visible.</x:v>
      </x:c>
    </x:row>
    <x:row r="25" ht="32" customHeight="1">
      <x:c r="A25" s="242" t="str">
        <x:v>Refresh step 1</x:v>
      </x:c>
      <x:c r="B25" s="52" t="str">
        <x:v>This public demo is preconfigured for 24 SKUs, 288 invoice lines, 120 BOM lines and 24 routing rows; it is not a one-click universal client template.</x:v>
      </x:c>
    </x:row>
    <x:row r="26" ht="32" customHeight="1">
      <x:c r="A26" s="242" t="str">
        <x:v>Refresh step 2</x:v>
      </x:c>
      <x:c r="B26" s="52" t="str">
        <x:v>For the same data shape, replace the four input tables while preserving columns and SKU keys. If row or SKU counts change, extend the tables, formulas and output rows—or have CB3 Works configure the recurring refresh—before relying on results.</x:v>
      </x:c>
    </x:row>
    <x:row r="27" ht="32" customHeight="1">
      <x:c r="A27" s="242" t="str">
        <x:v>Refresh step 3</x:v>
      </x:c>
      <x:c r="B27" s="52" t="str">
        <x:v>Set the orange report dates and finance-approved rates/policy; the dates actively scope transaction rollups. Then confirm every check remains PASS and validate sample SKUs to source records.</x:v>
      </x:c>
    </x:row>
    <x:row r="28" ht="32" customHeight="1">
      <x:c r="A28" s="242" t="str">
        <x:v>Refresh step 4</x:v>
      </x:c>
      <x:c r="B28" s="52" t="str">
        <x:v>Review missing-data flags, customer-SKU exceptions and management context before changing price, mix, batch policy or product strategy.</x:v>
      </x:c>
    </x:row>
    <x:row r="29" ht="32" customHeight="1">
      <x:c r="A29" s="242" t="str">
        <x:v>Data policy</x:v>
      </x:c>
      <x:c r="B29" s="52" t="str">
        <x:v>All names, SKUs, quantities, prices, BOMs, costs, customers and business results in this workbook are fictional and synthetic.</x:v>
      </x:c>
    </x:row>
    <x:row r="30" ht="32" customHeight="1">
      <x:c r="A30" s="243" t="str">
        <x:v>Positioning</x:v>
      </x:c>
      <x:c r="B30" s="53" t="str">
        <x:v>CB3 Works — Manufacturing Data &amp; Automation | CB3Works.com</x:v>
      </x:c>
    </x:row>
    <x:row r="31" ht="22" customHeight="1">
      <x:c r="A31" s="88" t="str">
        <x:v>CB3 WORKS  |  MANUFACTURING DATA &amp; AUTOMATION  |  CB3WORKS.COM  |  SYNTHETIC DEMO 03</x:v>
      </x:c>
      <x:c r="B31" s="88"/>
    </x:row>
  </x:sheetData>
  <x:mergeCells>
    <x:mergeCell ref="A1:B1"/>
    <x:mergeCell ref="A3:B3"/>
    <x:mergeCell ref="A31:B31"/>
  </x:mergeCells>
  <x:pageMargins left="0.7" right="0.7" top="0.75" bottom="0.75" header="0.3" footer="0.3"/>
</x:worksheet>
</file>