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ables/table7.xml" ContentType="application/vnd.openxmlformats-officedocument.spreadsheetml.table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c5b21b60543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mand_Center" sheetId="1" r:id="Rfbfeb8010e92405c"/>
    <x:sheet xmlns:r="http://schemas.openxmlformats.org/officeDocument/2006/relationships" name="Open_Orders" sheetId="2" r:id="R2a4d49b85c154613"/>
    <x:sheet xmlns:r="http://schemas.openxmlformats.org/officeDocument/2006/relationships" name="BOM" sheetId="3" r:id="R66455a5346dc4ec6"/>
    <x:sheet xmlns:r="http://schemas.openxmlformats.org/officeDocument/2006/relationships" name="Inventory" sheetId="4" r:id="Rd802c57b242c4d08"/>
    <x:sheet xmlns:r="http://schemas.openxmlformats.org/officeDocument/2006/relationships" name="Open_POs" sheetId="5" r:id="R545bbb65b00b4a31"/>
    <x:sheet xmlns:r="http://schemas.openxmlformats.org/officeDocument/2006/relationships" name="Production_Plan" sheetId="6" r:id="Rd1fda92564fd4489"/>
    <x:sheet xmlns:r="http://schemas.openxmlformats.org/officeDocument/2006/relationships" name="Material_Requirements" sheetId="7" r:id="R02faf2eff6c54955"/>
    <x:sheet xmlns:r="http://schemas.openxmlformats.org/officeDocument/2006/relationships" name="README" sheetId="8" r:id="Rdc147f5392464821"/>
    <x:sheet xmlns:r="http://schemas.openxmlformats.org/officeDocument/2006/relationships" name="Material_Summary" sheetId="9" r:id="R36d8f152bfac46ef"/>
  </x:sheets>
</x:workbook>
</file>

<file path=xl/comments1.xml><?xml version="1.0" encoding="utf-8"?>
<x:comments xmlns:x="http://schemas.openxmlformats.org/spreadsheetml/2006/main">
  <x:authors>
    <x:author>tc={23309EF6-8C94-4092-A45C-5ECB65DC3EC5}</x:author>
    <x:author>tc={B56560E6-32A9-4B6E-AEDD-351DDA76F617}</x:author>
  </x:authors>
  <x:commentList>
    <x:comment ref="N1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Cumulative demand is calculated in due-date and priority order so each unit of shared material is allocated once across customer orders.</x:t>
        </x:r>
      </x:text>
    </x:comment>
    <x:comment ref="P1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SHORT means projected balance below zero. BELOW TARGET means supply remains nonnegative but below safety stock.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mm/dd/yyyy"/>
    <x:numFmt numFmtId="201" formatCode="$0.00"/>
    <x:numFmt numFmtId="202" formatCode="MM/DD/YYYY"/>
    <x:numFmt numFmtId="203" formatCode="#,##0.0"/>
    <x:numFmt numFmtId="204" formatCode="#,##0"/>
  </x:numFmts>
  <x:fonts count="22">
    <x:font>
      <x:sz val="11"/>
      <x:name val="Carlito"/>
    </x:font>
    <x:font>
      <x:b/>
      <x:sz val="11"/>
      <x:color rgb="FFFFFFFF"/>
      <x:name val="Carlito"/>
    </x:font>
    <x:font>
      <x:b/>
      <x:sz val="18"/>
      <x:color rgb="FFFFFFFF"/>
      <x:name val="Carlito"/>
    </x:font>
    <x:font>
      <x:i/>
      <x:sz val="11"/>
      <x:name val="Carlito"/>
    </x:font>
    <x:font>
      <x:b/>
      <x:sz val="18"/>
      <x:color rgb="FF17365D"/>
      <x:name val="Carlito"/>
    </x:font>
    <x:font>
      <x:b/>
      <x:sz val="16"/>
      <x:color rgb="FFFFFFFF"/>
      <x:name val="Carlito"/>
    </x:font>
    <x:font>
      <x:b/>
      <x:sz val="11"/>
      <x:color rgb="FF17365D"/>
      <x:name val="Carlito"/>
    </x:font>
    <x:font>
      <x:b/>
      <x:sz val="10"/>
      <x:color rgb="FF0B2538"/>
      <x:name val="Aptos"/>
    </x:font>
    <x:font>
      <x:sz val="10"/>
      <x:color rgb="FF0B2538"/>
      <x:name val="Aptos"/>
    </x:font>
    <x:font>
      <x:b/>
      <x:sz val="10"/>
      <x:color rgb="FFFFFFFF"/>
      <x:name val="Aptos Display"/>
    </x:font>
    <x:font>
      <x:sz val="9"/>
      <x:color rgb="FF0B2538"/>
      <x:name val="Aptos"/>
    </x:font>
    <x:font>
      <x:i/>
      <x:sz val="10"/>
      <x:color rgb="FF0B2538"/>
      <x:name val="Aptos"/>
    </x:font>
    <x:font>
      <x:b/>
      <x:sz val="20"/>
      <x:color rgb="FFFFFFFF"/>
      <x:name val="Aptos Display"/>
    </x:font>
    <x:font>
      <x:b/>
      <x:i/>
      <x:sz val="9"/>
      <x:color rgb="FFD46F19"/>
      <x:name val="Aptos"/>
    </x:font>
    <x:font>
      <x:b/>
      <x:sz val="9"/>
      <x:color rgb="FFFFFFFF"/>
      <x:name val="Aptos"/>
    </x:font>
    <x:font>
      <x:b/>
      <x:sz val="23"/>
      <x:color rgb="FF0B2538"/>
      <x:name val="Aptos Display"/>
    </x:font>
    <x:font>
      <x:b/>
      <x:sz val="10"/>
      <x:color rgb="FFFFFFFF"/>
      <x:name val="Aptos"/>
    </x:font>
    <x:font>
      <x:b/>
      <x:sz val="23"/>
      <x:color rgb="FFB42318"/>
      <x:name val="Aptos Display"/>
    </x:font>
    <x:font>
      <x:b/>
      <x:sz val="23"/>
      <x:color rgb="FFD46F19"/>
      <x:name val="Aptos Display"/>
    </x:font>
    <x:font>
      <x:b/>
      <x:sz val="16"/>
      <x:color rgb="FFFFFFFF"/>
      <x:name val="Aptos Display"/>
    </x:font>
    <x:font>
      <x:sz val="10"/>
      <x:color rgb="FF617382"/>
      <x:name val="Aptos"/>
    </x:font>
    <x:font>
      <x:b/>
      <x:sz val="10"/>
      <x:color rgb="FFD46F19"/>
      <x:name val="Aptos"/>
    </x:font>
  </x:fonts>
  <x:fills count="16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2F75B5"/>
      </x:patternFill>
    </x:fill>
    <x:fill>
      <x:patternFill patternType="solid">
        <x:fgColor rgb="FFF3F4F6"/>
      </x:patternFill>
    </x:fill>
    <x:fill>
      <x:patternFill patternType="solid">
        <x:fgColor rgb="FFFCE4D6"/>
      </x:patternFill>
    </x:fill>
    <x:fill>
      <x:patternFill patternType="solid">
        <x:fgColor rgb="FF0B2538"/>
      </x:patternFill>
    </x:fill>
    <x:fill>
      <x:patternFill patternType="solid">
        <x:fgColor rgb="FFF7F8F8"/>
      </x:patternFill>
    </x:fill>
    <x:fill>
      <x:patternFill patternType="solid">
        <x:fgColor rgb="FFF2F5F6"/>
      </x:patternFill>
    </x:fill>
    <x:fill>
      <x:patternFill patternType="solid">
        <x:fgColor rgb="FF102F43"/>
      </x:patternFill>
    </x:fill>
    <x:fill>
      <x:patternFill patternType="solid">
        <x:fgColor rgb="FFFFFFFF"/>
      </x:patternFill>
    </x:fill>
    <x:fill>
      <x:patternFill patternType="solid">
        <x:fgColor rgb="FF315268"/>
      </x:patternFill>
    </x:fill>
    <x:fill>
      <x:patternFill patternType="solid">
        <x:fgColor rgb="FFE77B20"/>
      </x:patternFill>
    </x:fill>
    <x:fill>
      <x:patternFill patternType="solid">
        <x:fgColor rgb="FFE9EEF1"/>
      </x:patternFill>
    </x:fill>
    <x:fill>
      <x:patternFill patternType="solid">
        <x:fgColor rgb="FFFFF1E3"/>
      </x:patternFill>
    </x:fill>
  </x:fills>
  <x:borders count="16">
    <x:border/>
    <x:border/>
    <x:border>
      <x:bottom style="thick">
        <x:color rgb="FFE77B20"/>
      </x:bottom>
    </x:border>
    <x:border>
      <x:bottom style="thin">
        <x:color rgb="FFBDCAD1"/>
      </x:bottom>
    </x:border>
    <x:border>
      <x:top style="medium">
        <x:color rgb="FFE77B20"/>
      </x:top>
    </x:border>
    <x:border>
      <x:left style="thin">
        <x:color rgb="FFBDCAD1"/>
      </x:left>
      <x:top style="thin">
        <x:color rgb="FFBDCAD1"/>
      </x:top>
    </x:border>
    <x:border>
      <x:top style="thin">
        <x:color rgb="FFBDCAD1"/>
      </x:top>
    </x:border>
    <x:border>
      <x:right style="thin">
        <x:color rgb="FFBDCAD1"/>
      </x:right>
      <x:top style="thin">
        <x:color rgb="FFBDCAD1"/>
      </x:top>
    </x:border>
    <x:border>
      <x:left style="thin">
        <x:color rgb="FFBDCAD1"/>
      </x:left>
    </x:border>
    <x:border>
      <x:right style="thin">
        <x:color rgb="FFBDCAD1"/>
      </x:right>
    </x:border>
    <x:border>
      <x:left style="thin">
        <x:color rgb="FFBDCAD1"/>
      </x:left>
      <x:bottom style="thin">
        <x:color rgb="FFBDCAD1"/>
      </x:bottom>
    </x:border>
    <x:border>
      <x:right style="thin">
        <x:color rgb="FFBDCAD1"/>
      </x:right>
      <x:bottom style="thin">
        <x:color rgb="FFBDCAD1"/>
      </x:bottom>
    </x:border>
    <x:border>
      <x:bottom style="medium">
        <x:color rgb="FFE77B20"/>
      </x:bottom>
    </x:border>
    <x:border>
      <x:bottom style="thin">
        <x:color rgb="FFF4A340"/>
      </x:bottom>
    </x:border>
    <x:border>
      <x:top style="thin">
        <x:color rgb="FFBDCAD1"/>
      </x:top>
      <x:bottom style="thin">
        <x:color rgb="FFBDCAD1"/>
      </x:bottom>
    </x:border>
    <x:border>
      <x:top style="thin">
        <x:color rgb="FFBDCAD1"/>
      </x:top>
      <x:bottom style="thin">
        <x:color rgb="FFF4A340"/>
      </x:bottom>
    </x:border>
  </x:borders>
  <x:cellStyleXfs count="1">
    <x:xf numFmtId="0" fontId="0" fillId="0" borderId="0"/>
  </x:cellStyleXfs>
  <x:cellXfs count="19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6" fillId="3" borderId="0" xfId="0" applyNumberFormat="1" applyFont="1" applyFill="1" applyBorder="1"/>
    <x:xf numFmtId="0" fontId="6" fillId="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202" fontId="0" fillId="0" borderId="0" xfId="0" applyNumberFormat="1" applyFont="1" applyFill="1" applyBorder="1" applyAlignment="1">
      <x:alignment wrapText="1"/>
    </x:xf>
    <x:xf numFmtId="203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4" fontId="0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/>
    <x:xf numFmtId="200" fontId="8" fillId="0" borderId="0" xfId="0" applyNumberFormat="1" applyFont="1" applyFill="1" applyBorder="1"/>
    <x:xf numFmtId="0" fontId="7" fillId="7" borderId="0" xfId="0" applyNumberFormat="1" applyFont="1" applyFill="1" applyBorder="1" applyAlignment="1">
      <x:alignment horizontal="center"/>
    </x:xf>
    <x:xf numFmtId="0" fontId="8" fillId="7" borderId="0" xfId="0" applyNumberFormat="1" applyFont="1" applyFill="1" applyBorder="1"/>
    <x:xf numFmtId="0" fontId="9" fillId="7" borderId="0" xfId="0" applyNumberFormat="1" applyFont="1" applyFill="1" applyBorder="1" applyAlignment="1">
      <x:alignment horizontal="center"/>
    </x:xf>
    <x:xf numFmtId="0" fontId="9" fillId="7" borderId="0" xfId="0" applyNumberFormat="1" applyFont="1" applyFill="1" applyBorder="1"/>
    <x:xf numFmtId="0" fontId="9" fillId="7" borderId="0" xfId="0" applyNumberFormat="1" applyFont="1" applyFill="1" applyBorder="1" applyAlignment="1">
      <x:alignment horizontal="center" wrapText="1"/>
    </x:xf>
    <x:xf numFmtId="0" fontId="9" fillId="7" borderId="0" xfId="0" applyNumberFormat="1" applyFont="1" applyFill="1" applyBorder="1" applyAlignment="1">
      <x:alignment wrapText="1"/>
    </x:xf>
    <x:xf numFmtId="0" fontId="9" fillId="7" borderId="0" xfId="0" applyNumberFormat="1" applyFont="1" applyFill="1" applyBorder="1" applyAlignment="1">
      <x:alignment horizontal="center" vertical="center" wrapText="1"/>
    </x:xf>
    <x:xf numFmtId="0" fontId="9" fillId="7" borderId="0" xfId="0" applyNumberFormat="1" applyFont="1" applyFill="1" applyBorder="1" applyAlignment="1">
      <x:alignment vertical="center" wrapText="1"/>
    </x:xf>
    <x:xf numFmtId="0" fontId="9" fillId="7" borderId="2" xfId="0" applyNumberFormat="1" applyFont="1" applyFill="1" applyBorder="1" applyAlignment="1">
      <x:alignment horizontal="center" vertical="center" wrapText="1"/>
    </x:xf>
    <x:xf numFmtId="0" fontId="9" fillId="7" borderId="2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/>
    <x:xf numFmtId="200" fontId="10" fillId="0" borderId="0" xfId="0" applyNumberFormat="1" applyFont="1" applyFill="1" applyBorder="1"/>
    <x:xf numFmtId="201" fontId="8" fillId="0" borderId="0" xfId="0" applyNumberFormat="1" applyFont="1" applyFill="1" applyBorder="1"/>
    <x:xf numFmtId="201" fontId="10" fillId="0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 wrapText="1"/>
    </x:xf>
    <x:xf numFmtId="0" fontId="8" fillId="0" borderId="0" xfId="0" applyNumberFormat="1" applyFont="1" applyFill="1" applyBorder="1" applyAlignment="1">
      <x:alignment wrapText="1"/>
    </x:xf>
    <x:xf numFmtId="204" fontId="8" fillId="0" borderId="0" xfId="0" applyNumberFormat="1" applyFont="1" applyFill="1" applyBorder="1" applyAlignment="1">
      <x:alignment wrapText="1"/>
    </x:xf>
    <x:xf numFmtId="0" fontId="7" fillId="7" borderId="0" xfId="0" applyNumberFormat="1" applyFont="1" applyFill="1" applyBorder="1" applyAlignment="1">
      <x:alignment horizontal="center" wrapText="1"/>
    </x:xf>
    <x:xf numFmtId="0" fontId="8" fillId="7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204" fontId="10" fillId="0" borderId="0" xfId="0" applyNumberFormat="1" applyFont="1" applyFill="1" applyBorder="1" applyAlignment="1">
      <x:alignment wrapText="1"/>
    </x:xf>
    <x:xf numFmtId="202" fontId="8" fillId="0" borderId="0" xfId="0" applyNumberFormat="1" applyFont="1" applyFill="1" applyBorder="1" applyAlignment="1">
      <x:alignment wrapText="1"/>
    </x:xf>
    <x:xf numFmtId="203" fontId="8" fillId="0" borderId="0" xfId="0" applyNumberFormat="1" applyFont="1" applyFill="1" applyBorder="1" applyAlignment="1">
      <x:alignment wrapText="1"/>
    </x:xf>
    <x:xf numFmtId="202" fontId="10" fillId="0" borderId="0" xfId="0" applyNumberFormat="1" applyFont="1" applyFill="1" applyBorder="1" applyAlignment="1">
      <x:alignment wrapText="1"/>
    </x:xf>
    <x:xf numFmtId="203" fontId="10" fillId="0" borderId="0" xfId="0" applyNumberFormat="1" applyFont="1" applyFill="1" applyBorder="1" applyAlignment="1">
      <x:alignment wrapText="1"/>
    </x:xf>
    <x:xf numFmtId="0" fontId="2" fillId="8" borderId="0" xfId="0" applyNumberFormat="1" applyFont="1" applyFill="1" applyBorder="1"/>
    <x:xf numFmtId="0" fontId="3" fillId="8" borderId="0" xfId="0" applyNumberFormat="1" applyFont="1" applyFill="1" applyBorder="1"/>
    <x:xf numFmtId="0" fontId="0" fillId="8" borderId="0" xfId="0" applyNumberFormat="1" applyFont="1" applyFill="1" applyBorder="1"/>
    <x:xf numFmtId="0" fontId="1" fillId="8" borderId="0" xfId="0" applyNumberFormat="1" applyFont="1" applyFill="1" applyBorder="1" applyAlignment="1">
      <x:alignment horizontal="center"/>
    </x:xf>
    <x:xf numFmtId="0" fontId="4" fillId="8" borderId="0" xfId="0" applyNumberFormat="1" applyFont="1" applyFill="1" applyBorder="1" applyAlignment="1">
      <x:alignment horizontal="center" vertical="center"/>
    </x:xf>
    <x:xf numFmtId="0" fontId="1" fillId="8" borderId="0" xfId="0" applyNumberFormat="1" applyFont="1" applyFill="1" applyBorder="1" applyAlignment="1">
      <x:alignment wrapText="1"/>
    </x:xf>
    <x:xf numFmtId="0" fontId="0" fillId="8" borderId="0" xfId="0" applyNumberFormat="1" applyFont="1" applyFill="1" applyBorder="1" applyAlignment="1">
      <x:alignment wrapText="1"/>
    </x:xf>
    <x:xf numFmtId="202" fontId="0" fillId="8" borderId="0" xfId="0" applyNumberFormat="1" applyFont="1" applyFill="1" applyBorder="1" applyAlignment="1">
      <x:alignment wrapText="1"/>
    </x:xf>
    <x:xf numFmtId="203" fontId="0" fillId="8" borderId="0" xfId="0" applyNumberFormat="1" applyFont="1" applyFill="1" applyBorder="1" applyAlignment="1">
      <x:alignment wrapText="1"/>
    </x:xf>
    <x:xf numFmtId="0" fontId="1" fillId="8" borderId="0" xfId="0" applyNumberFormat="1" applyFont="1" applyFill="1" applyBorder="1"/>
    <x:xf numFmtId="0" fontId="7" fillId="8" borderId="0" xfId="0" applyNumberFormat="1" applyFont="1" applyFill="1" applyBorder="1"/>
    <x:xf numFmtId="0" fontId="11" fillId="8" borderId="0" xfId="0" applyNumberFormat="1" applyFont="1" applyFill="1" applyBorder="1"/>
    <x:xf numFmtId="0" fontId="8" fillId="8" borderId="0" xfId="0" applyNumberFormat="1" applyFont="1" applyFill="1" applyBorder="1"/>
    <x:xf numFmtId="0" fontId="7" fillId="8" borderId="0" xfId="0" applyNumberFormat="1" applyFont="1" applyFill="1" applyBorder="1" applyAlignment="1">
      <x:alignment horizontal="center"/>
    </x:xf>
    <x:xf numFmtId="0" fontId="7" fillId="8" borderId="0" xfId="0" applyNumberFormat="1" applyFont="1" applyFill="1" applyBorder="1" applyAlignment="1">
      <x:alignment horizontal="center" vertical="center"/>
    </x:xf>
    <x:xf numFmtId="0" fontId="7" fillId="8" borderId="0" xfId="0" applyNumberFormat="1" applyFont="1" applyFill="1" applyBorder="1" applyAlignment="1">
      <x:alignment wrapText="1"/>
    </x:xf>
    <x:xf numFmtId="0" fontId="8" fillId="8" borderId="0" xfId="0" applyNumberFormat="1" applyFont="1" applyFill="1" applyBorder="1" applyAlignment="1">
      <x:alignment wrapText="1"/>
    </x:xf>
    <x:xf numFmtId="202" fontId="8" fillId="8" borderId="0" xfId="0" applyNumberFormat="1" applyFont="1" applyFill="1" applyBorder="1" applyAlignment="1">
      <x:alignment wrapText="1"/>
    </x:xf>
    <x:xf numFmtId="203" fontId="8" fillId="8" borderId="0" xfId="0" applyNumberFormat="1" applyFont="1" applyFill="1" applyBorder="1" applyAlignment="1">
      <x:alignment wrapText="1"/>
    </x:xf>
    <x:xf numFmtId="0" fontId="7" fillId="7" borderId="0" xfId="0" applyNumberFormat="1" applyFont="1" applyFill="1" applyBorder="1"/>
    <x:xf numFmtId="0" fontId="12" fillId="7" borderId="0" xfId="0" applyNumberFormat="1" applyFont="1" applyFill="1" applyBorder="1"/>
    <x:xf numFmtId="0" fontId="12" fillId="7" borderId="0" xfId="0" applyNumberFormat="1" applyFont="1" applyFill="1" applyBorder="1" applyAlignment="1">
      <x:alignment vertical="center"/>
    </x:xf>
    <x:xf numFmtId="0" fontId="12" fillId="7" xfId="0" applyNumberFormat="1" applyFont="1" applyFill="1" applyBorder="0" applyAlignment="1">
      <x:alignment vertical="center"/>
    </x:xf>
    <x:xf numFmtId="0" fontId="12" fillId="7" borderId="2" xfId="0" applyNumberFormat="1" applyFont="1" applyFill="1" applyBorder="1" applyAlignment="1">
      <x:alignment vertical="center"/>
    </x:xf>
    <x:xf numFmtId="0" fontId="11" fillId="9" borderId="0" xfId="0" applyNumberFormat="1" applyFont="1" applyFill="1" applyBorder="1"/>
    <x:xf numFmtId="0" fontId="13" fillId="9" borderId="0" xfId="0" applyNumberFormat="1" applyFont="1" applyFill="1" applyBorder="1"/>
    <x:xf numFmtId="0" fontId="13" fillId="9" borderId="0" xfId="0" applyNumberFormat="1" applyFont="1" applyFill="1" applyBorder="1" applyAlignment="1">
      <x:alignment vertical="center"/>
    </x:xf>
    <x:xf numFmtId="0" fontId="13" fillId="9" borderId="3" xfId="0" applyNumberFormat="1" applyFont="1" applyFill="1" applyBorder="1" applyAlignment="1">
      <x:alignment vertical="center"/>
    </x:xf>
    <x:xf numFmtId="0" fontId="7" fillId="10" borderId="0" xfId="0" applyNumberFormat="1" applyFont="1" applyFill="1" applyBorder="1" applyAlignment="1">
      <x:alignment horizontal="center"/>
    </x:xf>
    <x:xf numFmtId="0" fontId="14" fillId="10" borderId="0" xfId="0" applyNumberFormat="1" applyFont="1" applyFill="1" applyBorder="1" applyAlignment="1">
      <x:alignment horizontal="center"/>
    </x:xf>
    <x:xf numFmtId="0" fontId="14" fillId="10" borderId="0" xfId="0" applyNumberFormat="1" applyFont="1" applyFill="1" applyBorder="1" applyAlignment="1">
      <x:alignment horizontal="center" vertical="center"/>
    </x:xf>
    <x:xf numFmtId="0" fontId="14" fillId="10" borderId="4" xfId="0" applyNumberFormat="1" applyFont="1" applyFill="1" applyBorder="1" applyAlignment="1">
      <x:alignment horizontal="center" vertical="center"/>
    </x:xf>
    <x:xf numFmtId="0" fontId="7" fillId="11" borderId="0" xfId="0" applyNumberFormat="1" applyFont="1" applyFill="1" applyBorder="1" applyAlignment="1">
      <x:alignment horizontal="center" vertical="center"/>
    </x:xf>
    <x:xf numFmtId="0" fontId="15" fillId="11" borderId="0" xfId="0" applyNumberFormat="1" applyFont="1" applyFill="1" applyBorder="1" applyAlignment="1">
      <x:alignment horizontal="center" vertical="center"/>
    </x:xf>
    <x:xf numFmtId="0" fontId="15" fillId="11" borderId="5" xfId="0" applyNumberFormat="1" applyFont="1" applyFill="1" applyBorder="1" applyAlignment="1">
      <x:alignment horizontal="center" vertical="center"/>
    </x:xf>
    <x:xf numFmtId="0" fontId="15" fillId="11" borderId="6" xfId="0" applyNumberFormat="1" applyFont="1" applyFill="1" applyBorder="1" applyAlignment="1">
      <x:alignment horizontal="center" vertical="center"/>
    </x:xf>
    <x:xf numFmtId="0" fontId="15" fillId="11" borderId="7" xfId="0" applyNumberFormat="1" applyFont="1" applyFill="1" applyBorder="1" applyAlignment="1">
      <x:alignment horizontal="center" vertical="center"/>
    </x:xf>
    <x:xf numFmtId="0" fontId="15" fillId="11" borderId="8" xfId="0" applyNumberFormat="1" applyFont="1" applyFill="1" applyBorder="1" applyAlignment="1">
      <x:alignment horizontal="center" vertical="center"/>
    </x:xf>
    <x:xf numFmtId="0" fontId="15" fillId="11" xfId="0" applyNumberFormat="1" applyFont="1" applyFill="1" applyBorder="0" applyAlignment="1">
      <x:alignment horizontal="center" vertical="center"/>
    </x:xf>
    <x:xf numFmtId="0" fontId="15" fillId="11" borderId="9" xfId="0" applyNumberFormat="1" applyFont="1" applyFill="1" applyBorder="1" applyAlignment="1">
      <x:alignment horizontal="center" vertical="center"/>
    </x:xf>
    <x:xf numFmtId="0" fontId="15" fillId="11" borderId="10" xfId="0" applyNumberFormat="1" applyFont="1" applyFill="1" applyBorder="1" applyAlignment="1">
      <x:alignment horizontal="center" vertical="center"/>
    </x:xf>
    <x:xf numFmtId="0" fontId="15" fillId="11" borderId="3" xfId="0" applyNumberFormat="1" applyFont="1" applyFill="1" applyBorder="1" applyAlignment="1">
      <x:alignment horizontal="center" vertical="center"/>
    </x:xf>
    <x:xf numFmtId="0" fontId="15" fillId="11" borderId="11" xfId="0" applyNumberFormat="1" applyFont="1" applyFill="1" applyBorder="1" applyAlignment="1">
      <x:alignment horizontal="center" vertical="center"/>
    </x:xf>
    <x:xf numFmtId="0" fontId="7" fillId="7" borderId="0" xfId="0" applyNumberFormat="1" applyFont="1" applyFill="1" applyBorder="1" applyAlignment="1">
      <x:alignment wrapText="1"/>
    </x:xf>
    <x:xf numFmtId="0" fontId="16" fillId="7" borderId="0" xfId="0" applyNumberFormat="1" applyFont="1" applyFill="1" applyBorder="1" applyAlignment="1">
      <x:alignment wrapText="1"/>
    </x:xf>
    <x:xf numFmtId="0" fontId="16" fillId="7" borderId="12" xfId="0" applyNumberFormat="1" applyFont="1" applyFill="1" applyBorder="1" applyAlignment="1">
      <x:alignment wrapText="1"/>
    </x:xf>
    <x:xf numFmtId="0" fontId="16" fillId="7" borderId="12" xfId="0" applyNumberFormat="1" applyFont="1" applyFill="1" applyBorder="1" applyAlignment="1">
      <x:alignment vertical="center" wrapText="1"/>
    </x:xf>
    <x:xf numFmtId="0" fontId="16" fillId="7" borderId="0" xfId="0" applyNumberFormat="1" applyFont="1" applyFill="1" applyBorder="1"/>
    <x:xf numFmtId="0" fontId="16" fillId="7" borderId="12" xfId="0" applyNumberFormat="1" applyFont="1" applyFill="1" applyBorder="1"/>
    <x:xf numFmtId="0" fontId="16" fillId="7" borderId="12" xfId="0" applyNumberFormat="1" applyFont="1" applyFill="1" applyBorder="1" applyAlignment="1">
      <x:alignment vertical="center"/>
    </x:xf>
    <x:xf numFmtId="0" fontId="7" fillId="12" borderId="0" xfId="0" applyNumberFormat="1" applyFont="1" applyFill="1" applyBorder="1" applyAlignment="1">
      <x:alignment wrapText="1"/>
    </x:xf>
    <x:xf numFmtId="0" fontId="8" fillId="12" borderId="0" xfId="0" applyNumberFormat="1" applyFont="1" applyFill="1" applyBorder="1" applyAlignment="1">
      <x:alignment wrapText="1"/>
    </x:xf>
    <x:xf numFmtId="0" fontId="14" fillId="12" borderId="0" xfId="0" applyNumberFormat="1" applyFont="1" applyFill="1" applyBorder="1" applyAlignment="1">
      <x:alignment wrapText="1"/>
    </x:xf>
    <x:xf numFmtId="0" fontId="14" fillId="12" borderId="0" xfId="0" applyNumberFormat="1" applyFont="1" applyFill="1" applyBorder="1" applyAlignment="1">
      <x:alignment vertical="center" wrapText="1"/>
    </x:xf>
    <x:xf numFmtId="0" fontId="14" fillId="12" borderId="13" xfId="0" applyNumberFormat="1" applyFont="1" applyFill="1" applyBorder="1" applyAlignment="1">
      <x:alignment vertical="center" wrapText="1"/>
    </x:xf>
    <x:xf numFmtId="0" fontId="7" fillId="12" borderId="0" xfId="0" applyNumberFormat="1" applyFont="1" applyFill="1" applyBorder="1"/>
    <x:xf numFmtId="0" fontId="14" fillId="12" borderId="0" xfId="0" applyNumberFormat="1" applyFont="1" applyFill="1" applyBorder="1"/>
    <x:xf numFmtId="0" fontId="8" fillId="11" borderId="0" xfId="0" applyNumberFormat="1" applyFont="1" applyFill="1" applyBorder="1" applyAlignment="1">
      <x:alignment wrapText="1"/>
    </x:xf>
    <x:xf numFmtId="202" fontId="8" fillId="11" borderId="0" xfId="0" applyNumberFormat="1" applyFont="1" applyFill="1" applyBorder="1" applyAlignment="1">
      <x:alignment wrapText="1"/>
    </x:xf>
    <x:xf numFmtId="203" fontId="8" fillId="11" borderId="0" xfId="0" applyNumberFormat="1" applyFont="1" applyFill="1" applyBorder="1" applyAlignment="1">
      <x:alignment wrapText="1"/>
    </x:xf>
    <x:xf numFmtId="0" fontId="8" fillId="11" borderId="0" xfId="0" applyNumberFormat="1" applyFont="1" applyFill="1" applyBorder="1"/>
    <x:xf numFmtId="0" fontId="14" fillId="12" borderId="3" xfId="0" applyNumberFormat="1" applyFont="1" applyFill="1" applyBorder="1" applyAlignment="1">
      <x:alignment vertical="center" wrapText="1"/>
    </x:xf>
    <x:xf numFmtId="0" fontId="8" fillId="8" borderId="3" xfId="0" applyNumberFormat="1" applyFont="1" applyFill="1" applyBorder="1" applyAlignment="1">
      <x:alignment wrapText="1"/>
    </x:xf>
    <x:xf numFmtId="0" fontId="8" fillId="11" borderId="14" xfId="0" applyNumberFormat="1" applyFont="1" applyFill="1" applyBorder="1" applyAlignment="1">
      <x:alignment wrapText="1"/>
    </x:xf>
    <x:xf numFmtId="0" fontId="8" fillId="8" borderId="14" xfId="0" applyNumberFormat="1" applyFont="1" applyFill="1" applyBorder="1" applyAlignment="1">
      <x:alignment wrapText="1"/>
    </x:xf>
    <x:xf numFmtId="202" fontId="8" fillId="11" borderId="14" xfId="0" applyNumberFormat="1" applyFont="1" applyFill="1" applyBorder="1" applyAlignment="1">
      <x:alignment wrapText="1"/>
    </x:xf>
    <x:xf numFmtId="203" fontId="8" fillId="11" borderId="14" xfId="0" applyNumberFormat="1" applyFont="1" applyFill="1" applyBorder="1" applyAlignment="1">
      <x:alignment wrapText="1"/>
    </x:xf>
    <x:xf numFmtId="0" fontId="8" fillId="11" borderId="15" xfId="0" applyNumberFormat="1" applyFont="1" applyFill="1" applyBorder="1" applyAlignment="1">
      <x:alignment wrapText="1"/>
    </x:xf>
    <x:xf numFmtId="0" fontId="8" fillId="8" borderId="15" xfId="0" applyNumberFormat="1" applyFont="1" applyFill="1" applyBorder="1" applyAlignment="1">
      <x:alignment wrapText="1"/>
    </x:xf>
    <x:xf numFmtId="202" fontId="8" fillId="11" borderId="15" xfId="0" applyNumberFormat="1" applyFont="1" applyFill="1" applyBorder="1" applyAlignment="1">
      <x:alignment wrapText="1"/>
    </x:xf>
    <x:xf numFmtId="203" fontId="8" fillId="11" borderId="15" xfId="0" applyNumberFormat="1" applyFont="1" applyFill="1" applyBorder="1" applyAlignment="1">
      <x:alignment wrapText="1"/>
    </x:xf>
    <x:xf numFmtId="0" fontId="14" fillId="7" borderId="0" xfId="0" applyNumberFormat="1" applyFont="1" applyFill="1" applyBorder="1"/>
    <x:xf numFmtId="0" fontId="14" fillId="7" borderId="0" xfId="0" applyNumberFormat="1" applyFont="1" applyFill="1" applyBorder="1" applyAlignment="1">
      <x:alignment horizontal="center"/>
    </x:xf>
    <x:xf numFmtId="0" fontId="14" fillId="7" borderId="0" xfId="0" applyNumberFormat="1" applyFont="1" applyFill="1" applyBorder="1" applyAlignment="1">
      <x:alignment horizontal="center" vertical="center"/>
    </x:xf>
    <x:xf numFmtId="0" fontId="14" fillId="7" borderId="4" xfId="0" applyNumberFormat="1" applyFont="1" applyFill="1" applyBorder="1" applyAlignment="1">
      <x:alignment horizontal="center" vertical="center"/>
    </x:xf>
    <x:xf numFmtId="0" fontId="17" fillId="11" borderId="5" xfId="0" applyNumberFormat="1" applyFont="1" applyFill="1" applyBorder="1" applyAlignment="1">
      <x:alignment horizontal="center" vertical="center"/>
    </x:xf>
    <x:xf numFmtId="0" fontId="17" fillId="11" borderId="6" xfId="0" applyNumberFormat="1" applyFont="1" applyFill="1" applyBorder="1" applyAlignment="1">
      <x:alignment horizontal="center" vertical="center"/>
    </x:xf>
    <x:xf numFmtId="0" fontId="17" fillId="11" borderId="7" xfId="0" applyNumberFormat="1" applyFont="1" applyFill="1" applyBorder="1" applyAlignment="1">
      <x:alignment horizontal="center" vertical="center"/>
    </x:xf>
    <x:xf numFmtId="0" fontId="17" fillId="11" borderId="8" xfId="0" applyNumberFormat="1" applyFont="1" applyFill="1" applyBorder="1" applyAlignment="1">
      <x:alignment horizontal="center" vertical="center"/>
    </x:xf>
    <x:xf numFmtId="0" fontId="17" fillId="11" xfId="0" applyNumberFormat="1" applyFont="1" applyFill="1" applyBorder="0" applyAlignment="1">
      <x:alignment horizontal="center" vertical="center"/>
    </x:xf>
    <x:xf numFmtId="0" fontId="17" fillId="11" borderId="9" xfId="0" applyNumberFormat="1" applyFont="1" applyFill="1" applyBorder="1" applyAlignment="1">
      <x:alignment horizontal="center" vertical="center"/>
    </x:xf>
    <x:xf numFmtId="0" fontId="17" fillId="11" borderId="10" xfId="0" applyNumberFormat="1" applyFont="1" applyFill="1" applyBorder="1" applyAlignment="1">
      <x:alignment horizontal="center" vertical="center"/>
    </x:xf>
    <x:xf numFmtId="0" fontId="17" fillId="11" borderId="3" xfId="0" applyNumberFormat="1" applyFont="1" applyFill="1" applyBorder="1" applyAlignment="1">
      <x:alignment horizontal="center" vertical="center"/>
    </x:xf>
    <x:xf numFmtId="0" fontId="17" fillId="11" borderId="11" xfId="0" applyNumberFormat="1" applyFont="1" applyFill="1" applyBorder="1" applyAlignment="1">
      <x:alignment horizontal="center" vertical="center"/>
    </x:xf>
    <x:xf numFmtId="0" fontId="18" fillId="11" borderId="5" xfId="0" applyNumberFormat="1" applyFont="1" applyFill="1" applyBorder="1" applyAlignment="1">
      <x:alignment horizontal="center" vertical="center"/>
    </x:xf>
    <x:xf numFmtId="0" fontId="18" fillId="11" borderId="6" xfId="0" applyNumberFormat="1" applyFont="1" applyFill="1" applyBorder="1" applyAlignment="1">
      <x:alignment horizontal="center" vertical="center"/>
    </x:xf>
    <x:xf numFmtId="0" fontId="18" fillId="11" borderId="7" xfId="0" applyNumberFormat="1" applyFont="1" applyFill="1" applyBorder="1" applyAlignment="1">
      <x:alignment horizontal="center" vertical="center"/>
    </x:xf>
    <x:xf numFmtId="0" fontId="18" fillId="11" borderId="8" xfId="0" applyNumberFormat="1" applyFont="1" applyFill="1" applyBorder="1" applyAlignment="1">
      <x:alignment horizontal="center" vertical="center"/>
    </x:xf>
    <x:xf numFmtId="0" fontId="18" fillId="11" xfId="0" applyNumberFormat="1" applyFont="1" applyFill="1" applyBorder="0" applyAlignment="1">
      <x:alignment horizontal="center" vertical="center"/>
    </x:xf>
    <x:xf numFmtId="0" fontId="18" fillId="11" borderId="9" xfId="0" applyNumberFormat="1" applyFont="1" applyFill="1" applyBorder="1" applyAlignment="1">
      <x:alignment horizontal="center" vertical="center"/>
    </x:xf>
    <x:xf numFmtId="0" fontId="18" fillId="11" borderId="10" xfId="0" applyNumberFormat="1" applyFont="1" applyFill="1" applyBorder="1" applyAlignment="1">
      <x:alignment horizontal="center" vertical="center"/>
    </x:xf>
    <x:xf numFmtId="0" fontId="18" fillId="11" borderId="3" xfId="0" applyNumberFormat="1" applyFont="1" applyFill="1" applyBorder="1" applyAlignment="1">
      <x:alignment horizontal="center" vertical="center"/>
    </x:xf>
    <x:xf numFmtId="0" fontId="18" fillId="11" borderId="11" xfId="0" applyNumberFormat="1" applyFont="1" applyFill="1" applyBorder="1" applyAlignment="1">
      <x:alignment horizontal="center" vertical="center"/>
    </x:xf>
    <x:xf numFmtId="0" fontId="5" fillId="7" borderId="0" xfId="0" applyNumberFormat="1" applyFont="1" applyFill="1" applyBorder="1" applyAlignment="1">
      <x:alignment wrapText="1"/>
    </x:xf>
    <x:xf numFmtId="0" fontId="19" fillId="7" borderId="0" xfId="0" applyNumberFormat="1" applyFont="1" applyFill="1" applyBorder="1" applyAlignment="1">
      <x:alignment wrapText="1"/>
    </x:xf>
    <x:xf numFmtId="0" fontId="19" fillId="7" borderId="0" xfId="0" applyNumberFormat="1" applyFont="1" applyFill="1" applyBorder="1" applyAlignment="1">
      <x:alignment wrapText="0"/>
    </x:xf>
    <x:xf numFmtId="0" fontId="19" fillId="7" borderId="0" xfId="0" applyNumberFormat="1" applyFont="1" applyFill="1" applyBorder="1" applyAlignment="1">
      <x:alignment horizontal="left" wrapText="0"/>
    </x:xf>
    <x:xf numFmtId="0" fontId="19" fillId="7" borderId="0" xfId="0" applyNumberFormat="1" applyFont="1" applyFill="1" applyBorder="1" applyAlignment="1">
      <x:alignment horizontal="left" vertical="center" wrapText="0"/>
    </x:xf>
    <x:xf numFmtId="0" fontId="19" fillId="7" borderId="2" xfId="0" applyNumberFormat="1" applyFont="1" applyFill="1" applyBorder="1" applyAlignment="1">
      <x:alignment horizontal="left" vertical="center" wrapText="0"/>
    </x:xf>
    <x:xf numFmtId="0" fontId="0" fillId="13" borderId="0" xfId="0" applyNumberFormat="1" applyFont="1" applyFill="1" applyBorder="1" applyAlignment="1">
      <x:alignment wrapText="1"/>
    </x:xf>
    <x:xf numFmtId="0" fontId="6" fillId="14" borderId="0" xfId="0" applyNumberFormat="1" applyFont="1" applyFill="1" applyBorder="1" applyAlignment="1">
      <x:alignment wrapText="1"/>
    </x:xf>
    <x:xf numFmtId="0" fontId="7" fillId="14" borderId="0" xfId="0" applyNumberFormat="1" applyFont="1" applyFill="1" applyBorder="1" applyAlignment="1">
      <x:alignment wrapText="1"/>
    </x:xf>
    <x:xf numFmtId="0" fontId="0" fillId="11" borderId="0" xfId="0" applyNumberFormat="1" applyFont="1" applyFill="1" applyBorder="1" applyAlignment="1">
      <x:alignment wrapText="1"/>
    </x:xf>
    <x:xf numFmtId="202" fontId="0" fillId="11" borderId="0" xfId="0" applyNumberFormat="1" applyFont="1" applyFill="1" applyBorder="1" applyAlignment="1">
      <x:alignment wrapText="1"/>
    </x:xf>
    <x:xf numFmtId="0" fontId="20" fillId="11" borderId="0" xfId="0" applyNumberFormat="1" applyFont="1" applyFill="1" applyBorder="1" applyAlignment="1">
      <x:alignment wrapText="1"/>
    </x:xf>
    <x:xf numFmtId="202" fontId="20" fillId="11" borderId="0" xfId="0" applyNumberFormat="1" applyFont="1" applyFill="1" applyBorder="1" applyAlignment="1">
      <x:alignment wrapText="1"/>
    </x:xf>
    <x:xf numFmtId="0" fontId="7" fillId="14" borderId="3" xfId="0" applyNumberFormat="1" applyFont="1" applyFill="1" applyBorder="1" applyAlignment="1">
      <x:alignment wrapText="1"/>
    </x:xf>
    <x:xf numFmtId="0" fontId="20" fillId="11" borderId="3" xfId="0" applyNumberFormat="1" applyFont="1" applyFill="1" applyBorder="1" applyAlignment="1">
      <x:alignment wrapText="1"/>
    </x:xf>
    <x:xf numFmtId="0" fontId="7" fillId="14" borderId="14" xfId="0" applyNumberFormat="1" applyFont="1" applyFill="1" applyBorder="1" applyAlignment="1">
      <x:alignment wrapText="1"/>
    </x:xf>
    <x:xf numFmtId="0" fontId="20" fillId="11" borderId="14" xfId="0" applyNumberFormat="1" applyFont="1" applyFill="1" applyBorder="1" applyAlignment="1">
      <x:alignment wrapText="1"/>
    </x:xf>
    <x:xf numFmtId="202" fontId="20" fillId="11" borderId="14" xfId="0" applyNumberFormat="1" applyFont="1" applyFill="1" applyBorder="1" applyAlignment="1">
      <x:alignment wrapText="1"/>
    </x:xf>
    <x:xf numFmtId="0" fontId="7" fillId="14" borderId="6" xfId="0" applyNumberFormat="1" applyFont="1" applyFill="1" applyBorder="1" applyAlignment="1">
      <x:alignment wrapText="1"/>
    </x:xf>
    <x:xf numFmtId="0" fontId="20" fillId="11" borderId="6" xfId="0" applyNumberFormat="1" applyFont="1" applyFill="1" applyBorder="1" applyAlignment="1">
      <x:alignment wrapText="1"/>
    </x:xf>
    <x:xf numFmtId="0" fontId="7" fillId="15" borderId="14" xfId="0" applyNumberFormat="1" applyFont="1" applyFill="1" applyBorder="1" applyAlignment="1">
      <x:alignment wrapText="1"/>
    </x:xf>
    <x:xf numFmtId="0" fontId="21" fillId="15" borderId="14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</x:cellXfs>
  <x:cellStyles count="1">
    <x:cellStyle name="Normal" xfId="0"/>
  </x:cellStyles>
  <x:dxfs count="28">
    <x:dxf>
      <x:font>
        <x:b/>
        <x:color rgb="FF9C0006"/>
      </x:font>
      <x:fill>
        <x:patternFill>
          <x:bgColor rgb="FFFDE2E2"/>
        </x:patternFill>
      </x:fill>
    </x:dxf>
    <x:dxf>
      <x:font>
        <x:color rgb="FF375623"/>
      </x:font>
      <x:fill>
        <x:patternFill>
          <x:bgColor rgb="FFE2F0D9"/>
        </x:patternFill>
      </x:fill>
    </x:dxf>
    <x:dxf>
      <x:font>
        <x:b/>
        <x:color rgb="FF9C0006"/>
      </x:font>
      <x:fill>
        <x:patternFill>
          <x:bgColor rgb="FFFDE2E2"/>
        </x:patternFill>
      </x:fill>
    </x:dxf>
    <x:dxf>
      <x:font>
        <x:color rgb="FF375623"/>
      </x:font>
      <x:fill>
        <x:patternFill>
          <x:bgColor rgb="FFE2F0D9"/>
        </x:patternFill>
      </x:fill>
    </x:dxf>
    <x:dxf>
      <x:font>
        <x:b/>
        <x:color rgb="FF9C0006"/>
      </x:font>
      <x:fill>
        <x:patternFill>
          <x:bgColor rgb="FFFDE2E1"/>
        </x:patternFill>
      </x:fill>
    </x:dxf>
    <x:dxf>
      <x:font>
        <x:b/>
        <x:color rgb="FF9C6500"/>
      </x:font>
      <x:fill>
        <x:patternFill>
          <x:bgColor rgb="FFFFF2CC"/>
        </x:patternFill>
      </x:fill>
    </x:dxf>
    <x:dxf>
      <x:font>
        <x:b/>
        <x:color rgb="FF006100"/>
      </x:font>
      <x:fill>
        <x:patternFill>
          <x:bgColor rgb="FFE2F0D9"/>
        </x:patternFill>
      </x:fill>
    </x:dxf>
    <x:dxf>
      <x:font>
        <x:b/>
        <x:color rgb="FF9C0006"/>
      </x:font>
      <x:fill>
        <x:patternFill>
          <x:bgColor rgb="FFFDE2E1"/>
        </x:patternFill>
      </x:fill>
    </x:dxf>
    <x:dxf>
      <x:font>
        <x:b/>
        <x:color rgb="FF9C6500"/>
      </x:font>
      <x:fill>
        <x:patternFill>
          <x:bgColor rgb="FFFFF2CC"/>
        </x:patternFill>
      </x:fill>
    </x:dxf>
    <x:dxf>
      <x:font>
        <x:b/>
        <x:color rgb="FF006100"/>
      </x:font>
      <x:fill>
        <x:patternFill>
          <x:bgColor rgb="FFE2F0D9"/>
        </x:patternFill>
      </x:fill>
    </x:dxf>
    <x:dxf>
      <x:font>
        <x:b/>
        <x:color rgb="FF9C0006"/>
      </x:font>
      <x:fill>
        <x:patternFill>
          <x:bgColor rgb="FFFDE2E1"/>
        </x:patternFill>
      </x:fill>
    </x:dxf>
    <x:dxf>
      <x:font>
        <x:b/>
        <x:color rgb="FF9C0006"/>
      </x:font>
      <x:fill>
        <x:patternFill>
          <x:bgColor rgb="FFFDE2E1"/>
        </x:patternFill>
      </x:fill>
    </x:dxf>
    <x:dxf>
      <x:font>
        <x:b/>
        <x:color rgb="FF9C6500"/>
      </x:font>
      <x:fill>
        <x:patternFill>
          <x:bgColor rgb="FFFFF2CC"/>
        </x:patternFill>
      </x:fill>
    </x:dxf>
    <x:dxf>
      <x:font>
        <x:b/>
        <x:color rgb="FF9C6500"/>
      </x:font>
      <x:fill>
        <x:patternFill>
          <x:bgColor rgb="FFFFF2CC"/>
        </x:patternFill>
      </x:fill>
    </x:dxf>
    <x:dxf>
      <x:font>
        <x:b/>
        <x:color rgb="FF006100"/>
      </x:font>
      <x:fill>
        <x:patternFill>
          <x:bgColor rgb="FFE2F0D9"/>
        </x:patternFill>
      </x:fill>
    </x:dxf>
    <x:dxf>
      <x:font>
        <x:b/>
        <x:color rgb="FFB42318"/>
      </x:font>
      <x:fill>
        <x:patternFill patternType="solid">
          <x:bgColor rgb="FFFDE9E7"/>
        </x:patternFill>
      </x:fill>
    </x:dxf>
    <x:dxf>
      <x:font>
        <x:b/>
        <x:color rgb="FFD46F19"/>
      </x:font>
      <x:fill>
        <x:patternFill patternType="solid">
          <x:bgColor rgb="FFFFF1E3"/>
        </x:patternFill>
      </x:fill>
    </x:dxf>
    <x:dxf>
      <x:font>
        <x:b/>
        <x:color rgb="FF175E4D"/>
      </x:font>
      <x:fill>
        <x:patternFill patternType="solid">
          <x:bgColor rgb="FFEDF7F3"/>
        </x:patternFill>
      </x:fill>
    </x:dxf>
    <x:dxf>
      <x:font>
        <x:b/>
        <x:color rgb="FFB42318"/>
      </x:font>
      <x:fill>
        <x:patternFill patternType="solid">
          <x:bgColor rgb="FFFDE9E7"/>
        </x:patternFill>
      </x:fill>
    </x:dxf>
    <x:dxf>
      <x:font>
        <x:b/>
        <x:color rgb="FFD46F19"/>
      </x:font>
      <x:fill>
        <x:patternFill patternType="solid">
          <x:bgColor rgb="FFFFF1E3"/>
        </x:patternFill>
      </x:fill>
    </x:dxf>
    <x:dxf>
      <x:font>
        <x:b/>
        <x:color rgb="FF175E4D"/>
      </x:font>
      <x:fill>
        <x:patternFill patternType="solid">
          <x:bgColor rgb="FFEDF7F3"/>
        </x:patternFill>
      </x:fill>
    </x:dxf>
    <x:dxf>
      <x:font>
        <x:b/>
        <x:color rgb="FFB42318"/>
      </x:font>
      <x:fill>
        <x:patternFill patternType="solid">
          <x:bgColor rgb="FFFDE9E7"/>
        </x:patternFill>
      </x:fill>
    </x:dxf>
    <x:dxf>
      <x:font>
        <x:b/>
        <x:color rgb="FFD46F19"/>
      </x:font>
      <x:fill>
        <x:patternFill patternType="solid">
          <x:bgColor rgb="FFFFF1E3"/>
        </x:patternFill>
      </x:fill>
    </x:dxf>
    <x:dxf>
      <x:font>
        <x:b/>
        <x:color rgb="FF175E4D"/>
      </x:font>
      <x:fill>
        <x:patternFill patternType="solid">
          <x:bgColor rgb="FFEDF7F3"/>
        </x:patternFill>
      </x:fill>
    </x:dxf>
    <x:dxf>
      <x:font>
        <x:b/>
        <x:color rgb="FFB42318"/>
      </x:font>
      <x:fill>
        <x:patternFill patternType="solid">
          <x:bgColor rgb="FFFDE9E7"/>
        </x:patternFill>
      </x:fill>
    </x:dxf>
    <x:dxf>
      <x:font>
        <x:b/>
        <x:color rgb="FFD46F19"/>
      </x:font>
      <x:fill>
        <x:patternFill patternType="solid">
          <x:bgColor rgb="FFFFF1E3"/>
        </x:patternFill>
      </x:fill>
    </x:dxf>
    <x:dxf>
      <x:font>
        <x:b/>
        <x:color rgb="FF175E4D"/>
      </x:font>
      <x:fill>
        <x:patternFill patternType="solid">
          <x:bgColor rgb="FFEDF7F3"/>
        </x:patternFill>
      </x:fill>
    </x:dxf>
    <x:dxf>
      <x:font>
        <x:b/>
        <x:color rgb="FFD46F19"/>
      </x:font>
      <x:fill>
        <x:patternFill patternType="solid">
          <x:bgColor rgb="FFFFF1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47a653394a4a9c" /><Relationship Type="http://schemas.openxmlformats.org/officeDocument/2006/relationships/theme" Target="/xl/theme/theme1.xml" Id="R564032e89a7f4fe2" /><Relationship Type="http://schemas.openxmlformats.org/officeDocument/2006/relationships/sharedStrings" Target="/xl/sharedStrings.xml" Id="R8d21658f71ba4ea6" /><Relationship Type="http://schemas.openxmlformats.org/officeDocument/2006/relationships/worksheet" Target="/xl/worksheets/sheet1.xml" Id="Rfbfeb8010e92405c" /><Relationship Type="http://schemas.openxmlformats.org/officeDocument/2006/relationships/worksheet" Target="/xl/worksheets/sheet2.xml" Id="R2a4d49b85c154613" /><Relationship Type="http://schemas.openxmlformats.org/officeDocument/2006/relationships/worksheet" Target="/xl/worksheets/sheet3.xml" Id="R66455a5346dc4ec6" /><Relationship Type="http://schemas.openxmlformats.org/officeDocument/2006/relationships/worksheet" Target="/xl/worksheets/sheet4.xml" Id="Rd802c57b242c4d08" /><Relationship Type="http://schemas.openxmlformats.org/officeDocument/2006/relationships/worksheet" Target="/xl/worksheets/sheet5.xml" Id="R545bbb65b00b4a31" /><Relationship Type="http://schemas.openxmlformats.org/officeDocument/2006/relationships/worksheet" Target="/xl/worksheets/sheet6.xml" Id="Rd1fda92564fd4489" /><Relationship Type="http://schemas.openxmlformats.org/officeDocument/2006/relationships/worksheet" Target="/xl/worksheets/sheet7.xml" Id="R02faf2eff6c54955" /><Relationship Type="http://schemas.openxmlformats.org/officeDocument/2006/relationships/worksheet" Target="/xl/worksheets/sheet8.xml" Id="Rdc147f5392464821" /><Relationship Type="http://schemas.openxmlformats.org/officeDocument/2006/relationships/worksheet" Target="/xl/worksheets/sheet9.xml" Id="R36d8f152bfac46ef" /><Relationship Type="http://schemas.microsoft.com/office/2017/10/relationships/person" Target="/xl/persons/person.xml" Id="R5206d1e5439249f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4d6992765ce4f3b" /><Relationship Type="http://schemas.openxmlformats.org/officeDocument/2006/relationships/chart" Target="/xl/drawings/charts/chart2.xml" Id="R8a5f024f0b6c443c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/>
              <a:t>Open Orders Due by Week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/>
          </a:pPr>
        </a:p>
      </c:txPr>
    </c:title>
    <c:plotArea>
      <c:barChart>
        <c:barDir val="col"/>
        <c:varyColors val="0"/>
        <c:ser>
          <c:idx val="0"/>
          <c:order val="0"/>
          <c:tx>
            <c:v>Orders</c:v>
          </c:tx>
          <c:spPr>
            <a:solidFill xmlns:a="http://schemas.openxmlformats.org/drawingml/2006/main">
              <a:srgbClr val="315268"/>
            </a:solidFill>
          </c:spPr>
          <c:cat>
            <c:strRef>
              <c:f>'Command_Center'!$A$21:$A$26</c:f>
              <c:strCache>
                <c:ptCount val="0"/>
              </c:strCache>
            </c:strRef>
          </c:cat>
          <c:val>
            <c:numRef>
              <c:f>'Command_Center'!$B$21:$B$26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/>
              <a:t>Production Planning Actions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/>
          </a:pPr>
        </a:p>
      </c:txPr>
    </c:title>
    <c:plotArea>
      <c:barChart>
        <c:barDir val="col"/>
        <c:varyColors val="0"/>
        <c:ser>
          <c:idx val="0"/>
          <c:order val="0"/>
          <c:tx>
            <c:v>Orders</c:v>
          </c:tx>
          <c:spPr>
            <a:solidFill xmlns:a="http://schemas.openxmlformats.org/drawingml/2006/main">
              <a:srgbClr val="E77B20"/>
            </a:solidFill>
          </c:spPr>
          <c:cat>
            <c:strRef>
              <c:f>'Command_Center'!$A$12:$A$16</c:f>
              <c:strCache>
                <c:ptCount val="0"/>
              </c:strCache>
            </c:strRef>
          </c:cat>
          <c:val>
            <c:numRef>
              <c:f>'Command_Center'!$B$12:$B$16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28</xdr:row>
      <xdr:rowOff>0</xdr:rowOff>
    </xdr:from>
    <xdr:to>
      <xdr:col>7</xdr:col>
      <xdr:colOff>0</xdr:colOff>
      <xdr:row>45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4d6992765ce4f3b"/>
        </a:graphicData>
      </a:graphic>
    </xdr:graphicFrame>
    <xdr:clientData/>
  </xdr:twoCellAnchor>
  <xdr:twoCellAnchor>
    <xdr:from>
      <xdr:col>7</xdr:col>
      <xdr:colOff>0</xdr:colOff>
      <xdr:row>28</xdr:row>
      <xdr:rowOff>0</xdr:rowOff>
    </xdr:from>
    <xdr:to>
      <xdr:col>14</xdr:col>
      <xdr:colOff>0</xdr:colOff>
      <xdr:row>45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a5f024f0b6c443c"/>
        </a:graphicData>
      </a:graphic>
    </xdr:graphicFrame>
    <xdr:clientData/>
  </xdr:twoCellAnchor>
</xdr:wsDr>
</file>

<file path=xl/persons/person.xml><?xml version="1.0" encoding="utf-8"?>
<xltc:personList xmlns:xltc="http://schemas.microsoft.com/office/spreadsheetml/2018/threadedcomments">
  <xltc:person displayName="Connor Buntin" id="{7F75C382-A630-4A8A-9341-FAFAC0316E72}"/>
</xltc:personList>
</file>

<file path=xl/tables/table1.xml><?xml version="1.0" encoding="utf-8"?>
<x:table xmlns:x="http://schemas.openxmlformats.org/spreadsheetml/2006/main" id="1" name="OpenOrdersTable" displayName="OpenOrdersTable" ref="A1:G91" headerRowCount="1" totalsRowCount="0" totalsRowShown="0">
  <x:autoFilter ref="A1:G91"/>
  <x:tableColumns count="7">
    <x:tableColumn id="1" name="Sales Order"/>
    <x:tableColumn id="2" name="Customer"/>
    <x:tableColumn id="3" name="Item"/>
    <x:tableColumn id="4" name="Description"/>
    <x:tableColumn id="5" name="Qty"/>
    <x:tableColumn id="6" name="Due Date"/>
    <x:tableColumn id="7" name="Priority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BOMTable" displayName="BOMTable" ref="A1:F164" headerRowCount="1" totalsRowCount="0" totalsRowShown="0">
  <x:autoFilter ref="A1:F164"/>
  <x:tableColumns count="6">
    <x:tableColumn id="1" name="Finished Good"/>
    <x:tableColumn id="2" name="FG Description"/>
    <x:tableColumn id="3" name="Raw Material"/>
    <x:tableColumn id="4" name="RM Description"/>
    <x:tableColumn id="5" name="Qty per FG Unit"/>
    <x:tableColumn id="6" name="UOM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InventoryTable" displayName="InventoryTable" ref="A1:H71" headerRowCount="1" totalsRowCount="0" totalsRowShown="0">
  <x:autoFilter ref="A1:H71"/>
  <x:tableColumns count="8">
    <x:tableColumn id="1" name="Item"/>
    <x:tableColumn id="2" name="Description"/>
    <x:tableColumn id="3" name="Category"/>
    <x:tableColumn id="4" name="UOM"/>
    <x:tableColumn id="5" name="On Hand"/>
    <x:tableColumn id="6" name="Safety Stock"/>
    <x:tableColumn id="7" name="Lead Time Days"/>
    <x:tableColumn id="8" name="Unit Cost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OpenPOTable" displayName="OpenPOTable" ref="A1:F26" headerRowCount="1" totalsRowCount="0" totalsRowShown="0">
  <x:autoFilter ref="A1:F26"/>
  <x:tableColumns count="6">
    <x:tableColumn id="1" name="PO"/>
    <x:tableColumn id="2" name="Item"/>
    <x:tableColumn id="3" name="Description"/>
    <x:tableColumn id="4" name="Open Qty"/>
    <x:tableColumn id="5" name="Expected Date"/>
    <x:tableColumn id="6" name="Supplier"/>
  </x:tableColumns>
  <x:tableStyleInfo name="TableStyleLight1" showFirstColumn="0" showLastColumn="0" showRowStripes="1" showColumnStripes="0"/>
</x:table>
</file>

<file path=xl/tables/table5.xml><?xml version="1.0" encoding="utf-8"?>
<x:table xmlns:x="http://schemas.openxmlformats.org/spreadsheetml/2006/main" id="9" name="ProductionPlanTable" displayName="ProductionPlanTable" ref="A1:L91" headerRowCount="1" totalsRowCount="0" totalsRowShown="0">
  <x:autoFilter ref="A1:L91"/>
  <x:tableColumns count="12">
    <x:tableColumn id="1" name="Sales Order"/>
    <x:tableColumn id="2" name="Customer"/>
    <x:tableColumn id="3" name="FG Item"/>
    <x:tableColumn id="4" name="Description"/>
    <x:tableColumn id="5" name="Order Qty"/>
    <x:tableColumn id="6" name="Due Date"/>
    <x:tableColumn id="7" name="Priority"/>
    <x:tableColumn id="8" name="Batch Size"/>
    <x:tableColumn id="9" name="Batches"/>
    <x:tableColumn id="10" name="Material Status"/>
    <x:tableColumn id="11" name="Days Until Due"/>
    <x:tableColumn id="12" name="Planning Status"/>
  </x:tableColumns>
  <x:tableStyleInfo name="TableStyleLight1" showFirstColumn="0" showLastColumn="0" showRowStripes="1" showColumnStripes="0"/>
</x:table>
</file>

<file path=xl/tables/table6.xml><?xml version="1.0" encoding="utf-8"?>
<x:table xmlns:x="http://schemas.openxmlformats.org/spreadsheetml/2006/main" id="7" name="MaterialReqTable" displayName="MaterialReqTable" ref="A1:P626" headerRowCount="1" totalsRowCount="0" totalsRowShown="0">
  <x:autoFilter ref="A1:P626"/>
  <x:tableColumns count="16">
    <x:tableColumn id="1" name="Sales Order"/>
    <x:tableColumn id="2" name="Due Date"/>
    <x:tableColumn id="3" name="Priority"/>
    <x:tableColumn id="4" name="FG Item"/>
    <x:tableColumn id="5" name="Raw Material"/>
    <x:tableColumn id="6" name="RM Description"/>
    <x:tableColumn id="7" name="Order Qty"/>
    <x:tableColumn id="8" name="Qty per FG"/>
    <x:tableColumn id="9" name="Required Qty"/>
    <x:tableColumn id="10" name="On Hand"/>
    <x:tableColumn id="11" name="Safety Stock"/>
    <x:tableColumn id="12" name="PO Due by Order"/>
    <x:tableColumn id="13" name="Total Available"/>
    <x:tableColumn id="14" name="Cumulative Demand"/>
    <x:tableColumn id="15" name="Projected Balance"/>
    <x:tableColumn id="16" name="Coverage Status"/>
  </x:tableColumns>
  <x:tableStyleInfo name="TableStyleLight1" showFirstColumn="0" showLastColumn="0" showRowStripes="1" showColumnStripes="0"/>
</x:table>
</file>

<file path=xl/tables/table7.xml><?xml version="1.0" encoding="utf-8"?>
<x:table xmlns:x="http://schemas.openxmlformats.org/spreadsheetml/2006/main" id="8" name="MaterialSummaryTable" displayName="MaterialSummaryTable" ref="A1:K71" headerRowCount="1" totalsRowCount="0" totalsRowShown="0">
  <x:autoFilter ref="A1:K71"/>
  <x:tableColumns count="11">
    <x:tableColumn id="1" name="Raw Material"/>
    <x:tableColumn id="2" name="Description"/>
    <x:tableColumn id="3" name="On Hand"/>
    <x:tableColumn id="4" name="Safety Stock"/>
    <x:tableColumn id="5" name="Total Open PO"/>
    <x:tableColumn id="6" name="Horizon Demand"/>
    <x:tableColumn id="7" name="End Balance"/>
    <x:tableColumn id="8" name="Affected Orders"/>
    <x:tableColumn id="9" name="Earliest Short Due"/>
    <x:tableColumn id="10" name="Worst Balance"/>
    <x:tableColumn id="11" name="Coverage 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N1" dT="2026-08-30T19:16:30.991" personId="{7F75C382-A630-4A8A-9341-FAFAC0316E72}" id="{23309EF6-8C94-4092-A45C-5ECB65DC3EC5}">
    <xltc:text>Cumulative demand is calculated in due-date and priority order so each unit of shared material is allocated once across customer orders.</xltc:text>
  </xltc:threadedComment>
  <xltc:threadedComment ref="P1" dT="2026-08-30T19:16:30.992" personId="{7F75C382-A630-4A8A-9341-FAFAC0316E72}" id="{B56560E6-32A9-4B6E-AEDD-351DDA76F617}">
    <xltc:text>SHORT means projected balance below zero. BELOW TARGET means supply remains nonnegative but below safety stock.</xltc:text>
  </xltc:threadedComment>
</xltc:ThreadedComments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cb43c44b16b45d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10b1839ef294ec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a07d5d251d3e4c3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b0aeda62b2d449ee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ef4488a4d19f447e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3bc732e113ae4079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comments" Target="/xl/comments1.xml" Id="R4eb1105c131a4b8d" /><Relationship Type="http://schemas.openxmlformats.org/officeDocument/2006/relationships/vmlDrawing" Target="/xl/drawings/vmldrawing.vml" Id="Rdf1e708a156c401e" /><Relationship Type="http://schemas.microsoft.com/office/2017/10/relationships/threadedComment" Target="/xl/threadedcomments/threadedcomment.xml" Id="Rdc504bf006db441c" /><Relationship Type="http://schemas.openxmlformats.org/officeDocument/2006/relationships/table" Target="/xl/tables/table6.xml" Id="Rb477b43c8a6a4a6a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7.xml" Id="Rf887668c2adc47b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.329999923706055" hidden="0" customWidth="1"/>
    <x:col min="2" max="2" width="8" hidden="0" customWidth="1"/>
    <x:col min="3" max="3" width="16.670000076293945" hidden="0" customWidth="1"/>
    <x:col min="4" max="4" width="17.219999313354492" hidden="0" customWidth="1"/>
    <x:col min="5" max="5" width="9.5600004196167" hidden="0" customWidth="1"/>
    <x:col min="6" max="6" width="2.440000057220459" hidden="0" customWidth="1"/>
    <x:col min="7" max="7" width="2.440000057220459" hidden="0" customWidth="1"/>
    <x:col min="8" max="8" width="3.109999895095825" hidden="0" customWidth="1"/>
    <x:col min="9" max="9" width="11.109999656677246" hidden="0" customWidth="1"/>
    <x:col min="10" max="10" width="12" hidden="0" customWidth="1"/>
    <x:col min="11" max="11" width="10.5600004196167" hidden="0" customWidth="1"/>
    <x:col min="12" max="12" width="11.670000076293945" hidden="0" customWidth="1"/>
    <x:col min="13" max="13" width="11.109999656677246" hidden="0" customWidth="1"/>
    <x:col min="14" max="14" width="10.5600004196167" hidden="0" customWidth="1"/>
  </x:cols>
  <x:sheetData>
    <x:row r="1" ht="18.75" customHeight="1">
      <x:c r="A1" s="99" t="str">
        <x:v>CB3 WORKS  |  PRODUCTION &amp; MATERIAL READINESS</x:v>
      </x:c>
      <x:c r="B1" s="99"/>
      <x:c r="C1" s="99"/>
      <x:c r="D1" s="99"/>
      <x:c r="E1" s="99"/>
      <x:c r="F1" s="99"/>
      <x:c r="G1" s="99"/>
      <x:c r="H1" s="99"/>
      <x:c r="I1" s="99"/>
      <x:c r="J1" s="99"/>
      <x:c r="K1" s="99"/>
      <x:c r="L1" s="99"/>
      <x:c r="M1" s="99"/>
      <x:c r="N1" s="99"/>
    </x:row>
    <x:row r="2" ht="18.75" customHeight="1">
      <x:c r="A2" s="100"/>
      <x:c r="B2" s="100"/>
      <x:c r="C2" s="100"/>
      <x:c r="D2" s="100"/>
      <x:c r="E2" s="100"/>
      <x:c r="F2" s="100"/>
      <x:c r="G2" s="100"/>
      <x:c r="H2" s="100"/>
      <x:c r="I2" s="100"/>
      <x:c r="J2" s="100"/>
      <x:c r="K2" s="100"/>
      <x:c r="L2" s="100"/>
      <x:c r="M2" s="100"/>
      <x:c r="N2" s="100"/>
    </x:row>
    <x:row r="3" ht="19.5" customHeight="1">
      <x:c r="A3" s="104" t="str">
        <x:v>MANUFACTURING DATA &amp; AUTOMATION  /  SYNTHETIC DEMO 02  /  CUMULATIVE ALLOCATION VERIFIED</x:v>
      </x:c>
      <x:c r="B3" s="104"/>
      <x:c r="C3" s="104"/>
      <x:c r="D3" s="104"/>
      <x:c r="E3" s="104"/>
      <x:c r="F3" s="104"/>
      <x:c r="G3" s="104"/>
      <x:c r="H3" s="104"/>
      <x:c r="I3" s="104"/>
      <x:c r="J3" s="104"/>
      <x:c r="K3" s="104"/>
      <x:c r="L3" s="104"/>
      <x:c r="M3" s="104"/>
      <x:c r="N3" s="104"/>
    </x:row>
    <x:row r="4">
      <x:c r="A4" s="89"/>
      <x:c r="B4" s="89"/>
      <x:c r="C4" s="89"/>
      <x:c r="D4" s="89"/>
      <x:c r="E4" s="89"/>
      <x:c r="F4" s="89"/>
      <x:c r="G4" s="89"/>
      <x:c r="H4" s="89"/>
      <x:c r="I4" s="89"/>
      <x:c r="J4" s="89"/>
      <x:c r="K4" s="89"/>
      <x:c r="L4" s="89"/>
      <x:c r="M4" s="89"/>
      <x:c r="N4" s="89"/>
    </x:row>
    <x:row r="5">
      <x:c r="A5" s="108" t="str">
        <x:v>OPEN ORDERS</x:v>
      </x:c>
      <x:c r="B5" s="108"/>
      <x:c r="C5" s="108"/>
      <x:c r="D5" s="89"/>
      <x:c r="E5" s="108" t="str">
        <x:v>ORDERS AT RISK</x:v>
      </x:c>
      <x:c r="F5" s="108"/>
      <x:c r="G5" s="108"/>
      <x:c r="H5" s="89"/>
      <x:c r="I5" s="108" t="str">
        <x:v>DUE ≤ 7 DAYS</x:v>
      </x:c>
      <x:c r="J5" s="108"/>
      <x:c r="K5" s="108"/>
      <x:c r="L5" s="89"/>
      <x:c r="M5" s="108" t="str">
        <x:v>MATERIALS SHORT</x:v>
      </x:c>
      <x:c r="N5" s="108"/>
    </x:row>
    <x:row r="6">
      <x:c r="A6" s="111" t="n">
        <x:f>COUNTA('Production_Plan'!$A$2:$A$91)</x:f>
        <x:v>90</x:v>
      </x:c>
      <x:c r="B6" s="112"/>
      <x:c r="C6" s="113"/>
      <x:c r="D6" s="89"/>
      <x:c r="E6" s="152" t="n">
        <x:f>COUNTIF('Production_Plan'!$J$2:$J$91,"AT RISK")</x:f>
        <x:v>89</x:v>
      </x:c>
      <x:c r="F6" s="153"/>
      <x:c r="G6" s="154"/>
      <x:c r="H6" s="89"/>
      <x:c r="I6" s="161" t="n">
        <x:f>COUNTIFS('Production_Plan'!$K$2:$K$91,"&gt;=0",'Production_Plan'!$K$2:$K$91,"&lt;=7")</x:f>
        <x:v>12</x:v>
      </x:c>
      <x:c r="J6" s="162"/>
      <x:c r="K6" s="163"/>
      <x:c r="L6" s="89"/>
      <x:c r="M6" s="152" t="n">
        <x:f>COUNTIF('Material_Summary'!$K$2:$K$71,"SHORT")</x:f>
        <x:v>52</x:v>
      </x:c>
      <x:c r="N6" s="154"/>
    </x:row>
    <x:row r="7">
      <x:c r="A7" s="114"/>
      <x:c r="B7" s="115"/>
      <x:c r="C7" s="116"/>
      <x:c r="D7" s="89"/>
      <x:c r="E7" s="155"/>
      <x:c r="F7" s="156"/>
      <x:c r="G7" s="157"/>
      <x:c r="H7" s="89"/>
      <x:c r="I7" s="164"/>
      <x:c r="J7" s="165"/>
      <x:c r="K7" s="166"/>
      <x:c r="L7" s="89"/>
      <x:c r="M7" s="155"/>
      <x:c r="N7" s="157"/>
    </x:row>
    <x:row r="8">
      <x:c r="A8" s="117"/>
      <x:c r="B8" s="118"/>
      <x:c r="C8" s="119"/>
      <x:c r="D8" s="89"/>
      <x:c r="E8" s="158"/>
      <x:c r="F8" s="159"/>
      <x:c r="G8" s="160"/>
      <x:c r="H8" s="89"/>
      <x:c r="I8" s="167"/>
      <x:c r="J8" s="168"/>
      <x:c r="K8" s="169"/>
      <x:c r="L8" s="89"/>
      <x:c r="M8" s="158"/>
      <x:c r="N8" s="160"/>
    </x:row>
    <x:row r="9">
      <x:c r="A9" s="89"/>
      <x:c r="B9" s="89"/>
      <x:c r="C9" s="89"/>
      <x:c r="D9" s="89"/>
      <x:c r="E9" s="89"/>
      <x:c r="F9" s="89"/>
      <x:c r="G9" s="89"/>
      <x:c r="H9" s="89"/>
      <x:c r="I9" s="89"/>
      <x:c r="J9" s="89"/>
      <x:c r="K9" s="89"/>
      <x:c r="L9" s="89"/>
      <x:c r="M9" s="89"/>
      <x:c r="N9" s="89"/>
    </x:row>
    <x:row r="10">
      <x:c r="A10" s="123" t="str">
        <x:v>01 / PRODUCTION PRIORITY</x:v>
      </x:c>
      <x:c r="B10" s="123"/>
      <x:c r="C10" s="123"/>
      <x:c r="D10" s="123"/>
      <x:c r="E10" s="123"/>
      <x:c r="F10" s="123"/>
      <x:c r="G10" s="122"/>
      <x:c r="H10" s="123"/>
      <x:c r="I10" s="123" t="str">
        <x:v>02 / MATERIAL EXCEPTION SNAPSHOT</x:v>
      </x:c>
      <x:c r="J10" s="123"/>
      <x:c r="K10" s="123"/>
      <x:c r="L10" s="123"/>
      <x:c r="M10" s="123"/>
      <x:c r="N10" s="123"/>
    </x:row>
    <x:row r="11" ht="28.5" customHeight="1">
      <x:c r="A11" s="138" t="str">
        <x:v>Planning Status</x:v>
      </x:c>
      <x:c r="B11" s="138" t="str">
        <x:v>Orders</x:v>
      </x:c>
      <x:c r="C11" s="138" t="str">
        <x:v>Meaning</x:v>
      </x:c>
      <x:c r="D11" s="138" t="str">
        <x:v>Owner Action</x:v>
      </x:c>
      <x:c r="E11" s="138" t="str">
        <x:v>Timing</x:v>
      </x:c>
      <x:c r="F11" s="138"/>
      <x:c r="G11" s="139"/>
      <x:c r="H11" s="138"/>
      <x:c r="I11" s="131" t="str">
        <x:v>Raw Material</x:v>
      </x:c>
      <x:c r="J11" s="131" t="str">
        <x:v>Status</x:v>
      </x:c>
      <x:c r="K11" s="131" t="str">
        <x:v>Affected Orders</x:v>
      </x:c>
      <x:c r="L11" s="131" t="str">
        <x:v>Earliest Short</x:v>
      </x:c>
      <x:c r="M11" s="131" t="str">
        <x:v>Worst Balance</x:v>
      </x:c>
      <x:c r="N11" s="131" t="str">
        <x:v>End Balance</x:v>
      </x:c>
    </x:row>
    <x:row r="12" ht="32.25" customHeight="1">
      <x:c r="A12" s="140" t="str">
        <x:v>EXPEDITE MATERIAL</x:v>
      </x:c>
      <x:c r="B12" s="140" t="n">
        <x:f>COUNTIF('Production_Plan'!$L$2:$L$91,A12)</x:f>
        <x:v>89</x:v>
      </x:c>
      <x:c r="C12" s="140" t="str">
        <x:v>True material shortage</x:v>
      </x:c>
      <x:c r="D12" s="140" t="str">
        <x:v>Purchasing + planning</x:v>
      </x:c>
      <x:c r="E12" s="140" t="str">
        <x:v>Immediate</x:v>
      </x:c>
      <x:c r="F12" s="140"/>
      <x:c r="G12" s="141"/>
      <x:c r="H12" s="140"/>
      <x:c r="I12" s="140" t="str">
        <x:f>'Material_Summary'!A2</x:f>
        <x:v>RM-032</x:v>
      </x:c>
      <x:c r="J12" s="140" t="str">
        <x:f>'Material_Summary'!K2</x:f>
        <x:v>SHORT</x:v>
      </x:c>
      <x:c r="K12" s="140" t="n">
        <x:f>'Material_Summary'!H2</x:f>
        <x:v>18</x:v>
      </x:c>
      <x:c r="L12" s="142" t="n">
        <x:f>'Material_Summary'!I2</x:f>
        <x:v>46256</x:v>
      </x:c>
      <x:c r="M12" s="143" t="n">
        <x:f>'Material_Summary'!J2</x:f>
        <x:v>-73718.4</x:v>
      </x:c>
      <x:c r="N12" s="143" t="n">
        <x:f>'Material_Summary'!G2</x:f>
        <x:v>-73718.4</x:v>
      </x:c>
    </x:row>
    <x:row r="13" ht="32.25" customHeight="1">
      <x:c r="A13" s="140" t="str">
        <x:v>REVIEW COVERAGE</x:v>
      </x:c>
      <x:c r="B13" s="140" t="n">
        <x:f>COUNTIF('Production_Plan'!$L$2:$L$91,A13)</x:f>
        <x:v>0</x:v>
      </x:c>
      <x:c r="C13" s="140" t="str">
        <x:v>Supply below safety target</x:v>
      </x:c>
      <x:c r="D13" s="140" t="str">
        <x:v>Planner review</x:v>
      </x:c>
      <x:c r="E13" s="140" t="str">
        <x:v>This week</x:v>
      </x:c>
      <x:c r="F13" s="140"/>
      <x:c r="G13" s="141"/>
      <x:c r="H13" s="140"/>
      <x:c r="I13" s="140" t="str">
        <x:f>'Material_Summary'!A3</x:f>
        <x:v>RM-063</x:v>
      </x:c>
      <x:c r="J13" s="140" t="str">
        <x:f>'Material_Summary'!K3</x:f>
        <x:v>SHORT</x:v>
      </x:c>
      <x:c r="K13" s="140" t="n">
        <x:f>'Material_Summary'!H3</x:f>
        <x:v>21</x:v>
      </x:c>
      <x:c r="L13" s="142" t="n">
        <x:f>'Material_Summary'!I3</x:f>
        <x:v>46257</x:v>
      </x:c>
      <x:c r="M13" s="143" t="n">
        <x:f>'Material_Summary'!J3</x:f>
        <x:v>-72490.29999999999</x:v>
      </x:c>
      <x:c r="N13" s="143" t="n">
        <x:f>'Material_Summary'!G3</x:f>
        <x:v>-72490.29999999999</x:v>
      </x:c>
    </x:row>
    <x:row r="14" ht="32.25" customHeight="1">
      <x:c r="A14" s="140" t="str">
        <x:v>SCHEDULE NOW</x:v>
      </x:c>
      <x:c r="B14" s="140" t="n">
        <x:f>COUNTIF('Production_Plan'!$L$2:$L$91,A14)</x:f>
        <x:v>1</x:v>
      </x:c>
      <x:c r="C14" s="140" t="str">
        <x:v>Covered and due soon</x:v>
      </x:c>
      <x:c r="D14" s="140" t="str">
        <x:v>Near-term schedule</x:v>
      </x:c>
      <x:c r="E14" s="140" t="str">
        <x:v>≤7 days</x:v>
      </x:c>
      <x:c r="F14" s="140"/>
      <x:c r="G14" s="141"/>
      <x:c r="H14" s="140"/>
      <x:c r="I14" s="140" t="str">
        <x:f>'Material_Summary'!A4</x:f>
        <x:v>RM-010</x:v>
      </x:c>
      <x:c r="J14" s="140" t="str">
        <x:f>'Material_Summary'!K4</x:f>
        <x:v>SHORT</x:v>
      </x:c>
      <x:c r="K14" s="140" t="n">
        <x:f>'Material_Summary'!H4</x:f>
        <x:v>17</x:v>
      </x:c>
      <x:c r="L14" s="142" t="n">
        <x:f>'Material_Summary'!I4</x:f>
        <x:v>46263</x:v>
      </x:c>
      <x:c r="M14" s="143" t="n">
        <x:f>'Material_Summary'!J4</x:f>
        <x:v>-65535.80000000002</x:v>
      </x:c>
      <x:c r="N14" s="143" t="n">
        <x:f>'Material_Summary'!G4</x:f>
        <x:v>-65535.80000000002</x:v>
      </x:c>
    </x:row>
    <x:row r="15" ht="32.25" customHeight="1">
      <x:c r="A15" s="140" t="str">
        <x:v>NEXT UP</x:v>
      </x:c>
      <x:c r="B15" s="140" t="n">
        <x:f>COUNTIF('Production_Plan'!$L$2:$L$91,A15)</x:f>
        <x:v>0</x:v>
      </x:c>
      <x:c r="C15" s="140" t="str">
        <x:v>Covered and upcoming</x:v>
      </x:c>
      <x:c r="D15" s="140" t="str">
        <x:v>Prepare sequence</x:v>
      </x:c>
      <x:c r="E15" s="140" t="str">
        <x:v>8–14 days</x:v>
      </x:c>
      <x:c r="F15" s="140"/>
      <x:c r="G15" s="141"/>
      <x:c r="H15" s="140"/>
      <x:c r="I15" s="140" t="str">
        <x:f>'Material_Summary'!A5</x:f>
        <x:v>RM-058</x:v>
      </x:c>
      <x:c r="J15" s="140" t="str">
        <x:f>'Material_Summary'!K5</x:f>
        <x:v>SHORT</x:v>
      </x:c>
      <x:c r="K15" s="140" t="n">
        <x:f>'Material_Summary'!H5</x:f>
        <x:v>20</x:v>
      </x:c>
      <x:c r="L15" s="142" t="n">
        <x:f>'Material_Summary'!I5</x:f>
        <x:v>46263</x:v>
      </x:c>
      <x:c r="M15" s="143" t="n">
        <x:f>'Material_Summary'!J5</x:f>
        <x:v>-64488.40000000001</x:v>
      </x:c>
      <x:c r="N15" s="143" t="n">
        <x:f>'Material_Summary'!G5</x:f>
        <x:v>-64488.40000000001</x:v>
      </x:c>
    </x:row>
    <x:row r="16" ht="32.25" customHeight="1">
      <x:c r="A16" s="144" t="str">
        <x:v>FUTURE</x:v>
      </x:c>
      <x:c r="B16" s="144" t="n">
        <x:f>COUNTIF('Production_Plan'!$L$2:$L$91,A16)</x:f>
        <x:v>0</x:v>
      </x:c>
      <x:c r="C16" s="144" t="str">
        <x:v>Covered, longer horizon</x:v>
      </x:c>
      <x:c r="D16" s="144" t="str">
        <x:v>Monitor</x:v>
      </x:c>
      <x:c r="E16" s="144" t="str">
        <x:v>15+ days</x:v>
      </x:c>
      <x:c r="F16" s="144"/>
      <x:c r="G16" s="145"/>
      <x:c r="H16" s="144"/>
      <x:c r="I16" s="144" t="str">
        <x:f>'Material_Summary'!A6</x:f>
        <x:v>RM-034</x:v>
      </x:c>
      <x:c r="J16" s="144" t="str">
        <x:f>'Material_Summary'!K6</x:f>
        <x:v>SHORT</x:v>
      </x:c>
      <x:c r="K16" s="144" t="n">
        <x:f>'Material_Summary'!H6</x:f>
        <x:v>10</x:v>
      </x:c>
      <x:c r="L16" s="146" t="n">
        <x:f>'Material_Summary'!I6</x:f>
        <x:v>46258</x:v>
      </x:c>
      <x:c r="M16" s="147" t="n">
        <x:f>'Material_Summary'!J6</x:f>
        <x:v>-49936.6</x:v>
      </x:c>
      <x:c r="N16" s="147" t="n">
        <x:f>'Material_Summary'!G6</x:f>
        <x:v>-49936.6</x:v>
      </x:c>
    </x:row>
    <x:row r="17">
      <x:c r="A17" s="89"/>
      <x:c r="B17" s="89"/>
      <x:c r="C17" s="89"/>
      <x:c r="D17" s="89"/>
      <x:c r="E17" s="89"/>
      <x:c r="F17" s="89"/>
      <x:c r="G17" s="89"/>
      <x:c r="H17" s="89"/>
      <x:c r="I17" s="89"/>
      <x:c r="J17" s="89"/>
      <x:c r="K17" s="89"/>
      <x:c r="L17" s="89"/>
      <x:c r="M17" s="89"/>
      <x:c r="N17" s="89"/>
    </x:row>
    <x:row r="18">
      <x:c r="A18" s="89"/>
      <x:c r="B18" s="89"/>
      <x:c r="C18" s="89"/>
      <x:c r="D18" s="89"/>
      <x:c r="E18" s="89"/>
      <x:c r="F18" s="89"/>
      <x:c r="G18" s="89"/>
      <x:c r="H18" s="89"/>
      <x:c r="I18" s="89"/>
      <x:c r="J18" s="89"/>
      <x:c r="K18" s="89"/>
      <x:c r="L18" s="89"/>
      <x:c r="M18" s="89"/>
      <x:c r="N18" s="89"/>
    </x:row>
    <x:row r="19">
      <x:c r="A19" s="126" t="str">
        <x:v>03 / ORDERS DUE BY WEEK</x:v>
      </x:c>
      <x:c r="B19" s="126"/>
      <x:c r="C19" s="126"/>
      <x:c r="D19" s="126"/>
      <x:c r="E19" s="126"/>
      <x:c r="F19" s="126"/>
      <x:c r="G19" s="89"/>
      <x:c r="H19" s="125" t="str">
        <x:v>04 / WHAT THIS DEMO PROVES</x:v>
      </x:c>
      <x:c r="I19" s="125"/>
      <x:c r="J19" s="125"/>
      <x:c r="K19" s="125"/>
      <x:c r="L19" s="125"/>
      <x:c r="M19" s="125"/>
      <x:c r="N19" s="125"/>
    </x:row>
    <x:row r="20">
      <x:c r="A20" s="131" t="str">
        <x:v>Week</x:v>
      </x:c>
      <x:c r="B20" s="131" t="str">
        <x:v>Orders</x:v>
      </x:c>
      <x:c r="C20" s="131" t="str">
        <x:v>Units</x:v>
      </x:c>
      <x:c r="D20" s="89"/>
      <x:c r="E20" s="89"/>
      <x:c r="F20" s="89"/>
      <x:c r="G20" s="89"/>
      <x:c r="H20" s="89" t="str">
        <x:v>1. Standard ERP exports become the inputs</x:v>
      </x:c>
      <x:c r="I20" s="89"/>
      <x:c r="J20" s="89"/>
      <x:c r="K20" s="89"/>
      <x:c r="L20" s="89"/>
      <x:c r="M20" s="89"/>
      <x:c r="N20" s="89"/>
    </x:row>
    <x:row r="21">
      <x:c r="A21" s="137" t="str">
        <x:v>Week 1</x:v>
      </x:c>
      <x:c r="B21" s="137" t="n">
        <x:f>COUNTIFS(Production_Plan!K:K,"&gt;=1",Production_Plan!K:K,"&lt;=7")</x:f>
        <x:v>12</x:v>
      </x:c>
      <x:c r="C21" s="137" t="n">
        <x:f>SUMIFS(Production_Plan!E:E,Production_Plan!K:K,"&gt;=1",Production_Plan!K:K,"&lt;=7")</x:f>
        <x:v>600</x:v>
      </x:c>
      <x:c r="D21" s="89"/>
      <x:c r="E21" s="89"/>
      <x:c r="F21" s="89"/>
      <x:c r="G21" s="89"/>
      <x:c r="H21" s="89" t="str">
        <x:v>2. BOM demand is exploded to raw-material level</x:v>
      </x:c>
      <x:c r="I21" s="89"/>
      <x:c r="J21" s="89"/>
      <x:c r="K21" s="89"/>
      <x:c r="L21" s="89"/>
      <x:c r="M21" s="89"/>
      <x:c r="N21" s="89"/>
    </x:row>
    <x:row r="22">
      <x:c r="A22" s="137" t="str">
        <x:v>Week 2</x:v>
      </x:c>
      <x:c r="B22" s="137" t="n">
        <x:f>COUNTIFS(Production_Plan!K:K,"&gt;=8",Production_Plan!K:K,"&lt;=14")</x:f>
        <x:v>13</x:v>
      </x:c>
      <x:c r="C22" s="137" t="n">
        <x:f>SUMIFS(Production_Plan!E:E,Production_Plan!K:K,"&gt;=8",Production_Plan!K:K,"&lt;=14")</x:f>
        <x:v>700</x:v>
      </x:c>
      <x:c r="D22" s="89"/>
      <x:c r="E22" s="89"/>
      <x:c r="F22" s="89"/>
      <x:c r="G22" s="89"/>
      <x:c r="H22" s="89" t="str">
        <x:v>3. PO supply counts only when due by the customer-order date</x:v>
      </x:c>
      <x:c r="I22" s="89"/>
      <x:c r="J22" s="89"/>
      <x:c r="K22" s="89"/>
      <x:c r="L22" s="89"/>
      <x:c r="M22" s="89"/>
      <x:c r="N22" s="89"/>
    </x:row>
    <x:row r="23">
      <x:c r="A23" s="137" t="str">
        <x:v>Week 3</x:v>
      </x:c>
      <x:c r="B23" s="137" t="n">
        <x:f>COUNTIFS(Production_Plan!K:K,"&gt;=15",Production_Plan!K:K,"&lt;=21")</x:f>
        <x:v>17</x:v>
      </x:c>
      <x:c r="C23" s="137" t="n">
        <x:f>SUMIFS(Production_Plan!E:E,Production_Plan!K:K,"&gt;=15",Production_Plan!K:K,"&lt;=21")</x:f>
        <x:v>800</x:v>
      </x:c>
      <x:c r="D23" s="89"/>
      <x:c r="E23" s="89"/>
      <x:c r="F23" s="89"/>
      <x:c r="G23" s="89"/>
      <x:c r="H23" s="89" t="str">
        <x:v>4. Cumulative demand allocates shared material once</x:v>
      </x:c>
      <x:c r="I23" s="89"/>
      <x:c r="J23" s="89"/>
      <x:c r="K23" s="89"/>
      <x:c r="L23" s="89"/>
      <x:c r="M23" s="89"/>
      <x:c r="N23" s="89"/>
    </x:row>
    <x:row r="24">
      <x:c r="A24" s="137" t="str">
        <x:v>Week 4</x:v>
      </x:c>
      <x:c r="B24" s="137" t="n">
        <x:f>COUNTIFS(Production_Plan!K:K,"&gt;=22",Production_Plan!K:K,"&lt;=28")</x:f>
        <x:v>15</x:v>
      </x:c>
      <x:c r="C24" s="137" t="n">
        <x:f>SUMIFS(Production_Plan!E:E,Production_Plan!K:K,"&gt;=22",Production_Plan!K:K,"&lt;=28")</x:f>
        <x:v>880</x:v>
      </x:c>
      <x:c r="D24" s="89"/>
      <x:c r="E24" s="89"/>
      <x:c r="F24" s="89"/>
      <x:c r="G24" s="89"/>
      <x:c r="H24" s="89" t="str">
        <x:v>5. True shortages are separated from safety-target risks</x:v>
      </x:c>
      <x:c r="I24" s="89"/>
      <x:c r="J24" s="89"/>
      <x:c r="K24" s="89"/>
      <x:c r="L24" s="89"/>
      <x:c r="M24" s="89"/>
      <x:c r="N24" s="89"/>
    </x:row>
    <x:row r="25">
      <x:c r="A25" s="137" t="str">
        <x:v>Week 5</x:v>
      </x:c>
      <x:c r="B25" s="137" t="n">
        <x:f>COUNTIFS(Production_Plan!K:K,"&gt;=29",Production_Plan!K:K,"&lt;=35")</x:f>
        <x:v>19</x:v>
      </x:c>
      <x:c r="C25" s="137" t="n">
        <x:f>SUMIFS(Production_Plan!E:E,Production_Plan!K:K,"&gt;=29",Production_Plan!K:K,"&lt;=35")</x:f>
        <x:v>930</x:v>
      </x:c>
      <x:c r="D25" s="89"/>
      <x:c r="E25" s="89"/>
      <x:c r="F25" s="89"/>
      <x:c r="G25" s="89"/>
      <x:c r="H25" s="89" t="str">
        <x:v>CB3 Works | Manufacturing Data &amp; Automation</x:v>
      </x:c>
      <x:c r="I25" s="89"/>
      <x:c r="J25" s="89"/>
      <x:c r="K25" s="89"/>
      <x:c r="L25" s="89"/>
      <x:c r="M25" s="89"/>
      <x:c r="N25" s="89"/>
    </x:row>
    <x:row r="26">
      <x:c r="A26" s="137" t="str">
        <x:v>Week 6</x:v>
      </x:c>
      <x:c r="B26" s="137" t="n">
        <x:f>COUNTIFS(Production_Plan!K:K,"&gt;=36",Production_Plan!K:K,"&lt;=42")</x:f>
        <x:v>14</x:v>
      </x:c>
      <x:c r="C26" s="137" t="n">
        <x:f>SUMIFS(Production_Plan!E:E,Production_Plan!K:K,"&gt;=36",Production_Plan!K:K,"&lt;=42")</x:f>
        <x:v>730</x:v>
      </x:c>
      <x:c r="D26" s="89"/>
      <x:c r="E26" s="89"/>
      <x:c r="F26" s="89"/>
      <x:c r="G26" s="89"/>
      <x:c r="H26" s="89"/>
      <x:c r="I26" s="89"/>
      <x:c r="J26" s="89"/>
      <x:c r="K26" s="89"/>
      <x:c r="L26" s="89"/>
      <x:c r="M26" s="89"/>
      <x:c r="N26" s="89"/>
    </x:row>
    <x:row r="27">
      <x:c r="A27" s="89"/>
      <x:c r="B27" s="89"/>
      <x:c r="C27" s="89"/>
      <x:c r="D27" s="89"/>
      <x:c r="E27" s="89"/>
      <x:c r="F27" s="89"/>
      <x:c r="G27" s="89"/>
      <x:c r="H27" s="89"/>
      <x:c r="I27" s="89"/>
      <x:c r="J27" s="89"/>
      <x:c r="K27" s="89"/>
      <x:c r="L27" s="89"/>
      <x:c r="M27" s="89"/>
      <x:c r="N27" s="89"/>
    </x:row>
    <x:row r="28">
      <x:c r="A28" s="89"/>
      <x:c r="B28" s="89"/>
      <x:c r="C28" s="89"/>
      <x:c r="D28" s="89"/>
      <x:c r="E28" s="89"/>
      <x:c r="F28" s="89"/>
      <x:c r="G28" s="89"/>
      <x:c r="H28" s="89"/>
      <x:c r="I28" s="89"/>
      <x:c r="J28" s="89"/>
      <x:c r="K28" s="89"/>
      <x:c r="L28" s="89"/>
      <x:c r="M28" s="89"/>
      <x:c r="N28" s="89"/>
    </x:row>
    <x:row r="29">
      <x:c r="A29" s="89"/>
      <x:c r="B29" s="89"/>
      <x:c r="C29" s="89"/>
      <x:c r="D29" s="89"/>
      <x:c r="E29" s="89"/>
      <x:c r="F29" s="89"/>
      <x:c r="G29" s="89"/>
      <x:c r="H29" s="89"/>
      <x:c r="I29" s="89"/>
      <x:c r="J29" s="89"/>
      <x:c r="K29" s="89"/>
      <x:c r="L29" s="89"/>
      <x:c r="M29" s="89"/>
      <x:c r="N29" s="89"/>
    </x:row>
    <x:row r="30">
      <x:c r="A30" s="89"/>
      <x:c r="B30" s="89"/>
      <x:c r="C30" s="89"/>
      <x:c r="D30" s="89"/>
      <x:c r="E30" s="89"/>
      <x:c r="F30" s="89"/>
      <x:c r="G30" s="89"/>
      <x:c r="H30" s="89"/>
      <x:c r="I30" s="89"/>
      <x:c r="J30" s="89"/>
      <x:c r="K30" s="89"/>
      <x:c r="L30" s="89"/>
      <x:c r="M30" s="89"/>
      <x:c r="N30" s="89"/>
    </x:row>
    <x:row r="31">
      <x:c r="A31" s="89"/>
      <x:c r="B31" s="89"/>
      <x:c r="C31" s="89"/>
      <x:c r="D31" s="89"/>
      <x:c r="E31" s="89"/>
      <x:c r="F31" s="89"/>
      <x:c r="G31" s="89"/>
      <x:c r="H31" s="89"/>
      <x:c r="I31" s="89"/>
      <x:c r="J31" s="89"/>
      <x:c r="K31" s="89"/>
      <x:c r="L31" s="89"/>
      <x:c r="M31" s="89"/>
      <x:c r="N31" s="89"/>
    </x:row>
    <x:row r="32">
      <x:c r="A32" s="89"/>
      <x:c r="B32" s="89"/>
      <x:c r="C32" s="89"/>
      <x:c r="D32" s="89"/>
      <x:c r="E32" s="89"/>
      <x:c r="F32" s="89"/>
      <x:c r="G32" s="89"/>
      <x:c r="H32" s="89"/>
      <x:c r="I32" s="89"/>
      <x:c r="J32" s="89"/>
      <x:c r="K32" s="89"/>
      <x:c r="L32" s="89"/>
      <x:c r="M32" s="89"/>
      <x:c r="N32" s="89"/>
    </x:row>
    <x:row r="33">
      <x:c r="A33" s="89"/>
      <x:c r="B33" s="89"/>
      <x:c r="C33" s="89"/>
      <x:c r="D33" s="89"/>
      <x:c r="E33" s="89"/>
      <x:c r="F33" s="89"/>
      <x:c r="G33" s="89"/>
      <x:c r="H33" s="89"/>
      <x:c r="I33" s="89"/>
      <x:c r="J33" s="89"/>
      <x:c r="K33" s="89"/>
      <x:c r="L33" s="89"/>
      <x:c r="M33" s="89"/>
      <x:c r="N33" s="89"/>
    </x:row>
    <x:row r="34">
      <x:c r="A34" s="89"/>
      <x:c r="B34" s="89"/>
      <x:c r="C34" s="89"/>
      <x:c r="D34" s="89"/>
      <x:c r="E34" s="89"/>
      <x:c r="F34" s="89"/>
      <x:c r="G34" s="89"/>
      <x:c r="H34" s="89"/>
      <x:c r="I34" s="89"/>
      <x:c r="J34" s="89"/>
      <x:c r="K34" s="89"/>
      <x:c r="L34" s="89"/>
      <x:c r="M34" s="89"/>
      <x:c r="N34" s="89"/>
    </x:row>
    <x:row r="35">
      <x:c r="A35" s="89"/>
      <x:c r="B35" s="89"/>
      <x:c r="C35" s="89"/>
      <x:c r="D35" s="89"/>
      <x:c r="E35" s="89"/>
      <x:c r="F35" s="89"/>
      <x:c r="G35" s="89"/>
      <x:c r="H35" s="89"/>
      <x:c r="I35" s="89"/>
      <x:c r="J35" s="89"/>
      <x:c r="K35" s="89"/>
      <x:c r="L35" s="89"/>
      <x:c r="M35" s="89"/>
      <x:c r="N35" s="89"/>
    </x:row>
    <x:row r="36">
      <x:c r="A36" s="89"/>
      <x:c r="B36" s="89"/>
      <x:c r="C36" s="89"/>
      <x:c r="D36" s="89"/>
      <x:c r="E36" s="89"/>
      <x:c r="F36" s="89"/>
      <x:c r="G36" s="89"/>
      <x:c r="H36" s="89"/>
      <x:c r="I36" s="89"/>
      <x:c r="J36" s="89"/>
      <x:c r="K36" s="89"/>
      <x:c r="L36" s="89"/>
      <x:c r="M36" s="89"/>
      <x:c r="N36" s="89"/>
    </x:row>
    <x:row r="37">
      <x:c r="A37" s="89"/>
      <x:c r="B37" s="89"/>
      <x:c r="C37" s="89"/>
      <x:c r="D37" s="89"/>
      <x:c r="E37" s="89"/>
      <x:c r="F37" s="89"/>
      <x:c r="G37" s="89"/>
      <x:c r="H37" s="89"/>
      <x:c r="I37" s="89"/>
      <x:c r="J37" s="89"/>
      <x:c r="K37" s="89"/>
      <x:c r="L37" s="89"/>
      <x:c r="M37" s="89"/>
      <x:c r="N37" s="89"/>
    </x:row>
    <x:row r="38">
      <x:c r="A38" s="89"/>
      <x:c r="B38" s="89"/>
      <x:c r="C38" s="89"/>
      <x:c r="D38" s="89"/>
      <x:c r="E38" s="89"/>
      <x:c r="F38" s="89"/>
      <x:c r="G38" s="89"/>
      <x:c r="H38" s="89"/>
      <x:c r="I38" s="89"/>
      <x:c r="J38" s="89"/>
      <x:c r="K38" s="89"/>
      <x:c r="L38" s="89"/>
      <x:c r="M38" s="89"/>
      <x:c r="N38" s="89"/>
    </x:row>
    <x:row r="39">
      <x:c r="A39" s="89"/>
      <x:c r="B39" s="89"/>
      <x:c r="C39" s="89"/>
      <x:c r="D39" s="89"/>
      <x:c r="E39" s="89"/>
      <x:c r="F39" s="89"/>
      <x:c r="G39" s="89"/>
      <x:c r="H39" s="89"/>
      <x:c r="I39" s="89"/>
      <x:c r="J39" s="89"/>
      <x:c r="K39" s="89"/>
      <x:c r="L39" s="89"/>
      <x:c r="M39" s="89"/>
      <x:c r="N39" s="89"/>
    </x:row>
    <x:row r="40">
      <x:c r="A40" s="89"/>
      <x:c r="B40" s="89"/>
      <x:c r="C40" s="89"/>
      <x:c r="D40" s="89"/>
      <x:c r="E40" s="89"/>
      <x:c r="F40" s="89"/>
      <x:c r="G40" s="89"/>
      <x:c r="H40" s="89"/>
      <x:c r="I40" s="89"/>
      <x:c r="J40" s="89"/>
      <x:c r="K40" s="89"/>
      <x:c r="L40" s="89"/>
      <x:c r="M40" s="89"/>
      <x:c r="N40" s="89"/>
    </x:row>
    <x:row r="41">
      <x:c r="A41" s="89"/>
      <x:c r="B41" s="89"/>
      <x:c r="C41" s="89"/>
      <x:c r="D41" s="89"/>
      <x:c r="E41" s="89"/>
      <x:c r="F41" s="89"/>
      <x:c r="G41" s="89"/>
      <x:c r="H41" s="89"/>
      <x:c r="I41" s="89"/>
      <x:c r="J41" s="89"/>
      <x:c r="K41" s="89"/>
      <x:c r="L41" s="89"/>
      <x:c r="M41" s="89"/>
      <x:c r="N41" s="89"/>
    </x:row>
    <x:row r="42">
      <x:c r="A42" s="89"/>
      <x:c r="B42" s="89"/>
      <x:c r="C42" s="89"/>
      <x:c r="D42" s="89"/>
      <x:c r="E42" s="89"/>
      <x:c r="F42" s="89"/>
      <x:c r="G42" s="89"/>
      <x:c r="H42" s="89"/>
      <x:c r="I42" s="89"/>
      <x:c r="J42" s="89"/>
      <x:c r="K42" s="89"/>
      <x:c r="L42" s="89"/>
      <x:c r="M42" s="89"/>
      <x:c r="N42" s="89"/>
    </x:row>
    <x:row r="43">
      <x:c r="A43" s="89"/>
      <x:c r="B43" s="89"/>
      <x:c r="C43" s="89"/>
      <x:c r="D43" s="89"/>
      <x:c r="E43" s="89"/>
      <x:c r="F43" s="89"/>
      <x:c r="G43" s="89"/>
      <x:c r="H43" s="89"/>
      <x:c r="I43" s="89"/>
      <x:c r="J43" s="89"/>
      <x:c r="K43" s="89"/>
      <x:c r="L43" s="89"/>
      <x:c r="M43" s="89"/>
      <x:c r="N43" s="89"/>
    </x:row>
    <x:row r="44">
      <x:c r="A44" s="89"/>
      <x:c r="B44" s="89"/>
      <x:c r="C44" s="89"/>
      <x:c r="D44" s="89"/>
      <x:c r="E44" s="89"/>
      <x:c r="F44" s="89"/>
      <x:c r="G44" s="89"/>
      <x:c r="H44" s="89"/>
      <x:c r="I44" s="89"/>
      <x:c r="J44" s="89"/>
      <x:c r="K44" s="89"/>
      <x:c r="L44" s="89"/>
      <x:c r="M44" s="89"/>
      <x:c r="N44" s="89"/>
    </x:row>
    <x:row r="45">
      <x:c r="A45" s="89"/>
      <x:c r="B45" s="89"/>
      <x:c r="C45" s="89"/>
      <x:c r="D45" s="89"/>
      <x:c r="E45" s="89"/>
      <x:c r="F45" s="89"/>
      <x:c r="G45" s="89"/>
      <x:c r="H45" s="89"/>
      <x:c r="I45" s="89"/>
      <x:c r="J45" s="89"/>
      <x:c r="K45" s="89"/>
      <x:c r="L45" s="89"/>
      <x:c r="M45" s="89"/>
      <x:c r="N45" s="89"/>
    </x:row>
    <x:row r="46">
      <x:c r="A46" s="89"/>
      <x:c r="B46" s="89"/>
      <x:c r="C46" s="89"/>
      <x:c r="D46" s="89"/>
      <x:c r="E46" s="89"/>
      <x:c r="F46" s="89"/>
      <x:c r="G46" s="89"/>
      <x:c r="H46" s="89"/>
      <x:c r="I46" s="89"/>
      <x:c r="J46" s="89"/>
      <x:c r="K46" s="89"/>
      <x:c r="L46" s="89"/>
      <x:c r="M46" s="89"/>
      <x:c r="N46" s="89"/>
    </x:row>
    <x:row r="47" ht="18.75" customHeight="1">
      <x:c r="A47" s="151" t="str">
        <x:v>CB3 WORKS  |  MANUFACTURING DATA &amp; AUTOMATION  |  CB3WORKS.COM  |  SYNTHETIC DEMO 02</x:v>
      </x:c>
      <x:c r="B47" s="151" t="str">
        <x:v>CB3 WORKS  |  MANUFACTURING DATA &amp; AUTOMATION  |  CB3WORKS.COM  |  SYNTHETIC DEMO 02</x:v>
      </x:c>
      <x:c r="C47" s="151" t="str">
        <x:v>CB3 WORKS  |  MANUFACTURING DATA &amp; AUTOMATION  |  CB3WORKS.COM  |  SYNTHETIC DEMO 02</x:v>
      </x:c>
      <x:c r="D47" s="151" t="str">
        <x:v>CB3 WORKS  |  MANUFACTURING DATA &amp; AUTOMATION  |  CB3WORKS.COM  |  SYNTHETIC DEMO 02</x:v>
      </x:c>
      <x:c r="E47" s="151" t="str">
        <x:v>CB3 WORKS  |  MANUFACTURING DATA &amp; AUTOMATION  |  CB3WORKS.COM  |  SYNTHETIC DEMO 02</x:v>
      </x:c>
      <x:c r="F47" s="151" t="str">
        <x:v>CB3 WORKS  |  MANUFACTURING DATA &amp; AUTOMATION  |  CB3WORKS.COM  |  SYNTHETIC DEMO 02</x:v>
      </x:c>
      <x:c r="G47" s="151" t="str">
        <x:v>CB3 WORKS  |  MANUFACTURING DATA &amp; AUTOMATION  |  CB3WORKS.COM  |  SYNTHETIC DEMO 02</x:v>
      </x:c>
      <x:c r="H47" s="151" t="str">
        <x:v>CB3 WORKS  |  MANUFACTURING DATA &amp; AUTOMATION  |  CB3WORKS.COM  |  SYNTHETIC DEMO 02</x:v>
      </x:c>
      <x:c r="I47" s="151" t="str">
        <x:v>CB3 WORKS  |  MANUFACTURING DATA &amp; AUTOMATION  |  CB3WORKS.COM  |  SYNTHETIC DEMO 02</x:v>
      </x:c>
      <x:c r="J47" s="151" t="str">
        <x:v>CB3 WORKS  |  MANUFACTURING DATA &amp; AUTOMATION  |  CB3WORKS.COM  |  SYNTHETIC DEMO 02</x:v>
      </x:c>
      <x:c r="K47" s="151" t="str">
        <x:v>CB3 WORKS  |  MANUFACTURING DATA &amp; AUTOMATION  |  CB3WORKS.COM  |  SYNTHETIC DEMO 02</x:v>
      </x:c>
      <x:c r="L47" s="151" t="str">
        <x:v>CB3 WORKS  |  MANUFACTURING DATA &amp; AUTOMATION  |  CB3WORKS.COM  |  SYNTHETIC DEMO 02</x:v>
      </x:c>
      <x:c r="M47" s="151" t="str">
        <x:v>CB3 WORKS  |  MANUFACTURING DATA &amp; AUTOMATION  |  CB3WORKS.COM  |  SYNTHETIC DEMO 02</x:v>
      </x:c>
      <x:c r="N47" s="151" t="str">
        <x:v>CB3 WORKS  |  MANUFACTURING DATA &amp; AUTOMATION  |  CB3WORKS.COM  |  SYNTHETIC DEMO 02</x:v>
      </x:c>
    </x:row>
  </x:sheetData>
  <x:mergeCells>
    <x:mergeCell ref="A1:N2"/>
    <x:mergeCell ref="A3:N3"/>
    <x:mergeCell ref="A5:C5"/>
    <x:mergeCell ref="A6:C8"/>
    <x:mergeCell ref="E5:G5"/>
    <x:mergeCell ref="E6:G8"/>
    <x:mergeCell ref="I5:K5"/>
    <x:mergeCell ref="I6:K8"/>
    <x:mergeCell ref="M5:N5"/>
    <x:mergeCell ref="M6:N8"/>
    <x:mergeCell ref="A10:G10"/>
    <x:mergeCell ref="I10:N10"/>
    <x:mergeCell ref="A19:F19"/>
    <x:mergeCell ref="H19:N19"/>
    <x:mergeCell ref="H20:N20"/>
    <x:mergeCell ref="H21:N21"/>
    <x:mergeCell ref="H22:N22"/>
    <x:mergeCell ref="H23:N23"/>
    <x:mergeCell ref="H24:N24"/>
    <x:mergeCell ref="H25:N25"/>
    <x:mergeCell ref="A47:N47"/>
  </x:mergeCells>
  <x:pageMargins left="0.7" right="0.7" top="0.75" bottom="0.75" header="0.3" footer="0.3"/>
  <x:drawing xmlns:r="http://schemas.openxmlformats.org/officeDocument/2006/relationships" r:id="R9cb43c44b16b45da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.220000267028809" hidden="0" customWidth="1"/>
    <x:col min="2" max="2" width="13.890000343322754" hidden="0" customWidth="1"/>
    <x:col min="3" max="3" width="8.890000343322754" hidden="0" customWidth="1"/>
    <x:col min="4" max="4" width="20" hidden="0" customWidth="1"/>
    <x:col min="5" max="5" width="8.329999923706055" hidden="0" customWidth="1"/>
    <x:col min="6" max="6" width="10.220000267028809" hidden="0" customWidth="1"/>
    <x:col min="7" max="7" width="8.329999923706055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</x:cols>
  <x:sheetData>
    <x:row r="1" ht="27" customHeight="1">
      <x:c r="A1" s="60" t="str">
        <x:v>Sales Order</x:v>
      </x:c>
      <x:c r="B1" s="61" t="str">
        <x:v>Customer</x:v>
      </x:c>
      <x:c r="C1" s="61" t="str">
        <x:v>Item</x:v>
      </x:c>
      <x:c r="D1" s="61" t="str">
        <x:v>Description</x:v>
      </x:c>
      <x:c r="E1" s="61" t="str">
        <x:v>Qty</x:v>
      </x:c>
      <x:c r="F1" s="61" t="str">
        <x:v>Due Date</x:v>
      </x:c>
      <x:c r="G1" s="61" t="str">
        <x:v>Priority</x:v>
      </x:c>
    </x:row>
    <x:row r="2" ht="15" customHeight="1">
      <x:c r="A2" s="62" t="str">
        <x:v>SO-26001</x:v>
      </x:c>
      <x:c r="B2" s="62" t="str">
        <x:v>Sample Customer A</x:v>
      </x:c>
      <x:c r="C2" s="62" t="str">
        <x:v>FG-012</x:v>
      </x:c>
      <x:c r="D2" s="62" t="str">
        <x:v>Prime Red Product</x:v>
      </x:c>
      <x:c r="E2" s="62" t="n">
        <x:v>10</x:v>
      </x:c>
      <x:c r="F2" s="63" t="n">
        <x:v>46271</x:v>
      </x:c>
      <x:c r="G2" s="62" t="str">
        <x:v>High</x:v>
      </x:c>
    </x:row>
    <x:row r="3" ht="15" customHeight="1">
      <x:c r="A3" s="62" t="str">
        <x:v>SO-26002</x:v>
      </x:c>
      <x:c r="B3" s="62" t="str">
        <x:v>Sample Customer B</x:v>
      </x:c>
      <x:c r="C3" s="62" t="str">
        <x:v>FG-005</x:v>
      </x:c>
      <x:c r="D3" s="62" t="str">
        <x:v>Shield Black Product</x:v>
      </x:c>
      <x:c r="E3" s="62" t="n">
        <x:v>40</x:v>
      </x:c>
      <x:c r="F3" s="63" t="n">
        <x:v>46262</x:v>
      </x:c>
      <x:c r="G3" s="62" t="str">
        <x:v>Normal</x:v>
      </x:c>
    </x:row>
    <x:row r="4" ht="15" customHeight="1">
      <x:c r="A4" s="62" t="str">
        <x:v>SO-26003</x:v>
      </x:c>
      <x:c r="B4" s="62" t="str">
        <x:v>Sample Customer A</x:v>
      </x:c>
      <x:c r="C4" s="62" t="str">
        <x:v>FG-017</x:v>
      </x:c>
      <x:c r="D4" s="62" t="str">
        <x:v>Shield Black Product</x:v>
      </x:c>
      <x:c r="E4" s="62" t="n">
        <x:v>40</x:v>
      </x:c>
      <x:c r="F4" s="63" t="n">
        <x:v>46272</x:v>
      </x:c>
      <x:c r="G4" s="62" t="str">
        <x:v>Normal</x:v>
      </x:c>
    </x:row>
    <x:row r="5" ht="15" customHeight="1">
      <x:c r="A5" s="62" t="str">
        <x:v>SO-26004</x:v>
      </x:c>
      <x:c r="B5" s="62" t="str">
        <x:v>Sample Customer C</x:v>
      </x:c>
      <x:c r="C5" s="62" t="str">
        <x:v>FG-013</x:v>
      </x:c>
      <x:c r="D5" s="62" t="str">
        <x:v>Shield White Product</x:v>
      </x:c>
      <x:c r="E5" s="62" t="n">
        <x:v>40</x:v>
      </x:c>
      <x:c r="F5" s="63" t="n">
        <x:v>46290</x:v>
      </x:c>
      <x:c r="G5" s="62" t="str">
        <x:v>Normal</x:v>
      </x:c>
    </x:row>
    <x:row r="6" ht="15" customHeight="1">
      <x:c r="A6" s="62" t="str">
        <x:v>SO-26005</x:v>
      </x:c>
      <x:c r="B6" s="62" t="str">
        <x:v>Sample Customer D</x:v>
      </x:c>
      <x:c r="C6" s="62" t="str">
        <x:v>FG-014</x:v>
      </x:c>
      <x:c r="D6" s="62" t="str">
        <x:v>Flex Gray Product</x:v>
      </x:c>
      <x:c r="E6" s="62" t="n">
        <x:v>40</x:v>
      </x:c>
      <x:c r="F6" s="63" t="n">
        <x:v>46274</x:v>
      </x:c>
      <x:c r="G6" s="62" t="str">
        <x:v>Normal</x:v>
      </x:c>
    </x:row>
    <x:row r="7" ht="15" customHeight="1">
      <x:c r="A7" s="62" t="str">
        <x:v>SO-26006</x:v>
      </x:c>
      <x:c r="B7" s="62" t="str">
        <x:v>Sample Customer C</x:v>
      </x:c>
      <x:c r="C7" s="62" t="str">
        <x:v>FG-010</x:v>
      </x:c>
      <x:c r="D7" s="62" t="str">
        <x:v>Flex Blue Product</x:v>
      </x:c>
      <x:c r="E7" s="62" t="n">
        <x:v>80</x:v>
      </x:c>
      <x:c r="F7" s="63" t="n">
        <x:v>46258</x:v>
      </x:c>
      <x:c r="G7" s="62" t="str">
        <x:v>Normal</x:v>
      </x:c>
    </x:row>
    <x:row r="8" ht="15" customHeight="1">
      <x:c r="A8" s="62" t="str">
        <x:v>SO-26007</x:v>
      </x:c>
      <x:c r="B8" s="62" t="str">
        <x:v>Sample Customer C</x:v>
      </x:c>
      <x:c r="C8" s="62" t="str">
        <x:v>FG-017</x:v>
      </x:c>
      <x:c r="D8" s="62" t="str">
        <x:v>Shield Black Product</x:v>
      </x:c>
      <x:c r="E8" s="62" t="n">
        <x:v>30</x:v>
      </x:c>
      <x:c r="F8" s="63" t="n">
        <x:v>46269</x:v>
      </x:c>
      <x:c r="G8" s="62" t="str">
        <x:v>Normal</x:v>
      </x:c>
    </x:row>
    <x:row r="9" ht="15" customHeight="1">
      <x:c r="A9" s="62" t="str">
        <x:v>SO-26008</x:v>
      </x:c>
      <x:c r="B9" s="62" t="str">
        <x:v>Sample Customer D</x:v>
      </x:c>
      <x:c r="C9" s="62" t="str">
        <x:v>FG-001</x:v>
      </x:c>
      <x:c r="D9" s="62" t="str">
        <x:v>Shield White Product</x:v>
      </x:c>
      <x:c r="E9" s="62" t="n">
        <x:v>50</x:v>
      </x:c>
      <x:c r="F9" s="63" t="n">
        <x:v>46280</x:v>
      </x:c>
      <x:c r="G9" s="62" t="str">
        <x:v>Normal</x:v>
      </x:c>
    </x:row>
    <x:row r="10" ht="15" customHeight="1">
      <x:c r="A10" s="62" t="str">
        <x:v>SO-26009</x:v>
      </x:c>
      <x:c r="B10" s="62" t="str">
        <x:v>Sample Customer A</x:v>
      </x:c>
      <x:c r="C10" s="62" t="str">
        <x:v>FG-011</x:v>
      </x:c>
      <x:c r="D10" s="62" t="str">
        <x:v>Guard Black Product</x:v>
      </x:c>
      <x:c r="E10" s="62" t="n">
        <x:v>60</x:v>
      </x:c>
      <x:c r="F10" s="63" t="n">
        <x:v>46283</x:v>
      </x:c>
      <x:c r="G10" s="62" t="str">
        <x:v>Normal</x:v>
      </x:c>
    </x:row>
    <x:row r="11" ht="15" customHeight="1">
      <x:c r="A11" s="62" t="str">
        <x:v>SO-26010</x:v>
      </x:c>
      <x:c r="B11" s="62" t="str">
        <x:v>Sample Customer B</x:v>
      </x:c>
      <x:c r="C11" s="62" t="str">
        <x:v>FG-003</x:v>
      </x:c>
      <x:c r="D11" s="62" t="str">
        <x:v>Guard Tan Product</x:v>
      </x:c>
      <x:c r="E11" s="62" t="n">
        <x:v>30</x:v>
      </x:c>
      <x:c r="F11" s="63" t="n">
        <x:v>46288</x:v>
      </x:c>
      <x:c r="G11" s="62" t="str">
        <x:v>Normal</x:v>
      </x:c>
    </x:row>
    <x:row r="12" ht="15" customHeight="1">
      <x:c r="A12" s="62" t="str">
        <x:v>SO-26011</x:v>
      </x:c>
      <x:c r="B12" s="62" t="str">
        <x:v>Sample Customer D</x:v>
      </x:c>
      <x:c r="C12" s="62" t="str">
        <x:v>FG-007</x:v>
      </x:c>
      <x:c r="D12" s="62" t="str">
        <x:v>Guard White Product</x:v>
      </x:c>
      <x:c r="E12" s="62" t="n">
        <x:v>10</x:v>
      </x:c>
      <x:c r="F12" s="63" t="n">
        <x:v>46268</x:v>
      </x:c>
      <x:c r="G12" s="62" t="str">
        <x:v>Normal</x:v>
      </x:c>
    </x:row>
    <x:row r="13" ht="15" customHeight="1">
      <x:c r="A13" s="62" t="str">
        <x:v>SO-26012</x:v>
      </x:c>
      <x:c r="B13" s="62" t="str">
        <x:v>Sample Customer E</x:v>
      </x:c>
      <x:c r="C13" s="62" t="str">
        <x:v>FG-018</x:v>
      </x:c>
      <x:c r="D13" s="62" t="str">
        <x:v>Flex Red Product</x:v>
      </x:c>
      <x:c r="E13" s="62" t="n">
        <x:v>20</x:v>
      </x:c>
      <x:c r="F13" s="63" t="n">
        <x:v>46259</x:v>
      </x:c>
      <x:c r="G13" s="62" t="str">
        <x:v>Normal</x:v>
      </x:c>
    </x:row>
    <x:row r="14" ht="15" customHeight="1">
      <x:c r="A14" s="62" t="str">
        <x:v>SO-26013</x:v>
      </x:c>
      <x:c r="B14" s="62" t="str">
        <x:v>Sample Customer E</x:v>
      </x:c>
      <x:c r="C14" s="62" t="str">
        <x:v>FG-001</x:v>
      </x:c>
      <x:c r="D14" s="62" t="str">
        <x:v>Shield White Product</x:v>
      </x:c>
      <x:c r="E14" s="62" t="n">
        <x:v>80</x:v>
      </x:c>
      <x:c r="F14" s="63" t="n">
        <x:v>46281</x:v>
      </x:c>
      <x:c r="G14" s="62" t="str">
        <x:v>Normal</x:v>
      </x:c>
    </x:row>
    <x:row r="15" ht="15" customHeight="1">
      <x:c r="A15" s="62" t="str">
        <x:v>SO-26014</x:v>
      </x:c>
      <x:c r="B15" s="62" t="str">
        <x:v>Sample Customer D</x:v>
      </x:c>
      <x:c r="C15" s="62" t="str">
        <x:v>FG-001</x:v>
      </x:c>
      <x:c r="D15" s="62" t="str">
        <x:v>Shield White Product</x:v>
      </x:c>
      <x:c r="E15" s="62" t="n">
        <x:v>80</x:v>
      </x:c>
      <x:c r="F15" s="63" t="n">
        <x:v>46264</x:v>
      </x:c>
      <x:c r="G15" s="62" t="str">
        <x:v>Normal</x:v>
      </x:c>
    </x:row>
    <x:row r="16" ht="15" customHeight="1">
      <x:c r="A16" s="62" t="str">
        <x:v>SO-26015</x:v>
      </x:c>
      <x:c r="B16" s="62" t="str">
        <x:v>Sample Customer C</x:v>
      </x:c>
      <x:c r="C16" s="62" t="str">
        <x:v>FG-021</x:v>
      </x:c>
      <x:c r="D16" s="62" t="str">
        <x:v>Shield Tan Product</x:v>
      </x:c>
      <x:c r="E16" s="62" t="n">
        <x:v>100</x:v>
      </x:c>
      <x:c r="F16" s="63" t="n">
        <x:v>46289</x:v>
      </x:c>
      <x:c r="G16" s="62" t="str">
        <x:v>Normal</x:v>
      </x:c>
    </x:row>
    <x:row r="17" ht="15" customHeight="1">
      <x:c r="A17" s="62" t="str">
        <x:v>SO-26016</x:v>
      </x:c>
      <x:c r="B17" s="62" t="str">
        <x:v>Sample Customer A</x:v>
      </x:c>
      <x:c r="C17" s="62" t="str">
        <x:v>FG-023</x:v>
      </x:c>
      <x:c r="D17" s="62" t="str">
        <x:v>Guard Black Product</x:v>
      </x:c>
      <x:c r="E17" s="62" t="n">
        <x:v>50</x:v>
      </x:c>
      <x:c r="F17" s="63" t="n">
        <x:v>46272</x:v>
      </x:c>
      <x:c r="G17" s="62" t="str">
        <x:v>High</x:v>
      </x:c>
    </x:row>
    <x:row r="18" ht="15" customHeight="1">
      <x:c r="A18" s="62" t="str">
        <x:v>SO-26017</x:v>
      </x:c>
      <x:c r="B18" s="62" t="str">
        <x:v>Sample Customer D</x:v>
      </x:c>
      <x:c r="C18" s="62" t="str">
        <x:v>FG-007</x:v>
      </x:c>
      <x:c r="D18" s="62" t="str">
        <x:v>Guard White Product</x:v>
      </x:c>
      <x:c r="E18" s="62" t="n">
        <x:v>100</x:v>
      </x:c>
      <x:c r="F18" s="63" t="n">
        <x:v>46286</x:v>
      </x:c>
      <x:c r="G18" s="62" t="str">
        <x:v>High</x:v>
      </x:c>
    </x:row>
    <x:row r="19" ht="15" customHeight="1">
      <x:c r="A19" s="62" t="str">
        <x:v>SO-26018</x:v>
      </x:c>
      <x:c r="B19" s="62" t="str">
        <x:v>Sample Customer D</x:v>
      </x:c>
      <x:c r="C19" s="62" t="str">
        <x:v>FG-016</x:v>
      </x:c>
      <x:c r="D19" s="62" t="str">
        <x:v>Prime Blue Product</x:v>
      </x:c>
      <x:c r="E19" s="62" t="n">
        <x:v>60</x:v>
      </x:c>
      <x:c r="F19" s="63" t="n">
        <x:v>46293</x:v>
      </x:c>
      <x:c r="G19" s="62" t="str">
        <x:v>Normal</x:v>
      </x:c>
    </x:row>
    <x:row r="20" ht="15" customHeight="1">
      <x:c r="A20" s="62" t="str">
        <x:v>SO-26019</x:v>
      </x:c>
      <x:c r="B20" s="62" t="str">
        <x:v>Sample Customer B</x:v>
      </x:c>
      <x:c r="C20" s="62" t="str">
        <x:v>FG-012</x:v>
      </x:c>
      <x:c r="D20" s="62" t="str">
        <x:v>Prime Red Product</x:v>
      </x:c>
      <x:c r="E20" s="62" t="n">
        <x:v>80</x:v>
      </x:c>
      <x:c r="F20" s="63" t="n">
        <x:v>46267</x:v>
      </x:c>
      <x:c r="G20" s="62" t="str">
        <x:v>Normal</x:v>
      </x:c>
    </x:row>
    <x:row r="21" ht="15" customHeight="1">
      <x:c r="A21" s="62" t="str">
        <x:v>SO-26020</x:v>
      </x:c>
      <x:c r="B21" s="62" t="str">
        <x:v>Sample Customer A</x:v>
      </x:c>
      <x:c r="C21" s="62" t="str">
        <x:v>FG-006</x:v>
      </x:c>
      <x:c r="D21" s="62" t="str">
        <x:v>Flex Red Product</x:v>
      </x:c>
      <x:c r="E21" s="62" t="n">
        <x:v>80</x:v>
      </x:c>
      <x:c r="F21" s="63" t="n">
        <x:v>46292</x:v>
      </x:c>
      <x:c r="G21" s="62" t="str">
        <x:v>Normal</x:v>
      </x:c>
    </x:row>
    <x:row r="22" ht="15" customHeight="1">
      <x:c r="A22" s="62" t="str">
        <x:v>SO-26021</x:v>
      </x:c>
      <x:c r="B22" s="62" t="str">
        <x:v>Sample Customer A</x:v>
      </x:c>
      <x:c r="C22" s="62" t="str">
        <x:v>FG-021</x:v>
      </x:c>
      <x:c r="D22" s="62" t="str">
        <x:v>Shield Tan Product</x:v>
      </x:c>
      <x:c r="E22" s="62" t="n">
        <x:v>10</x:v>
      </x:c>
      <x:c r="F22" s="63" t="n">
        <x:v>46267</x:v>
      </x:c>
      <x:c r="G22" s="62" t="str">
        <x:v>High</x:v>
      </x:c>
    </x:row>
    <x:row r="23" ht="15" customHeight="1">
      <x:c r="A23" s="62" t="str">
        <x:v>SO-26022</x:v>
      </x:c>
      <x:c r="B23" s="62" t="str">
        <x:v>Sample Customer A</x:v>
      </x:c>
      <x:c r="C23" s="62" t="str">
        <x:v>FG-011</x:v>
      </x:c>
      <x:c r="D23" s="62" t="str">
        <x:v>Guard Black Product</x:v>
      </x:c>
      <x:c r="E23" s="62" t="n">
        <x:v>100</x:v>
      </x:c>
      <x:c r="F23" s="63" t="n">
        <x:v>46263</x:v>
      </x:c>
      <x:c r="G23" s="62" t="str">
        <x:v>High</x:v>
      </x:c>
    </x:row>
    <x:row r="24" ht="15" customHeight="1">
      <x:c r="A24" s="62" t="str">
        <x:v>SO-26023</x:v>
      </x:c>
      <x:c r="B24" s="62" t="str">
        <x:v>Sample Customer B</x:v>
      </x:c>
      <x:c r="C24" s="62" t="str">
        <x:v>FG-010</x:v>
      </x:c>
      <x:c r="D24" s="62" t="str">
        <x:v>Flex Blue Product</x:v>
      </x:c>
      <x:c r="E24" s="62" t="n">
        <x:v>60</x:v>
      </x:c>
      <x:c r="F24" s="63" t="n">
        <x:v>46280</x:v>
      </x:c>
      <x:c r="G24" s="62" t="str">
        <x:v>Normal</x:v>
      </x:c>
    </x:row>
    <x:row r="25" ht="15" customHeight="1">
      <x:c r="A25" s="62" t="str">
        <x:v>SO-26024</x:v>
      </x:c>
      <x:c r="B25" s="62" t="str">
        <x:v>Sample Customer C</x:v>
      </x:c>
      <x:c r="C25" s="62" t="str">
        <x:v>FG-017</x:v>
      </x:c>
      <x:c r="D25" s="62" t="str">
        <x:v>Shield Black Product</x:v>
      </x:c>
      <x:c r="E25" s="62" t="n">
        <x:v>20</x:v>
      </x:c>
      <x:c r="F25" s="63" t="n">
        <x:v>46284</x:v>
      </x:c>
      <x:c r="G25" s="62" t="str">
        <x:v>Normal</x:v>
      </x:c>
    </x:row>
    <x:row r="26" ht="15" customHeight="1">
      <x:c r="A26" s="62" t="str">
        <x:v>SO-26025</x:v>
      </x:c>
      <x:c r="B26" s="62" t="str">
        <x:v>Sample Customer E</x:v>
      </x:c>
      <x:c r="C26" s="62" t="str">
        <x:v>FG-007</x:v>
      </x:c>
      <x:c r="D26" s="62" t="str">
        <x:v>Guard White Product</x:v>
      </x:c>
      <x:c r="E26" s="62" t="n">
        <x:v>30</x:v>
      </x:c>
      <x:c r="F26" s="63" t="n">
        <x:v>46275</x:v>
      </x:c>
      <x:c r="G26" s="62" t="str">
        <x:v>High</x:v>
      </x:c>
    </x:row>
    <x:row r="27" ht="15" customHeight="1">
      <x:c r="A27" s="62" t="str">
        <x:v>SO-26026</x:v>
      </x:c>
      <x:c r="B27" s="62" t="str">
        <x:v>Sample Customer D</x:v>
      </x:c>
      <x:c r="C27" s="62" t="str">
        <x:v>FG-022</x:v>
      </x:c>
      <x:c r="D27" s="62" t="str">
        <x:v>Flex Blue Product</x:v>
      </x:c>
      <x:c r="E27" s="62" t="n">
        <x:v>30</x:v>
      </x:c>
      <x:c r="F27" s="63" t="n">
        <x:v>46285</x:v>
      </x:c>
      <x:c r="G27" s="62" t="str">
        <x:v>Normal</x:v>
      </x:c>
    </x:row>
    <x:row r="28" ht="15" customHeight="1">
      <x:c r="A28" s="62" t="str">
        <x:v>SO-26027</x:v>
      </x:c>
      <x:c r="B28" s="62" t="str">
        <x:v>Sample Customer A</x:v>
      </x:c>
      <x:c r="C28" s="62" t="str">
        <x:v>FG-001</x:v>
      </x:c>
      <x:c r="D28" s="62" t="str">
        <x:v>Shield White Product</x:v>
      </x:c>
      <x:c r="E28" s="62" t="n">
        <x:v>10</x:v>
      </x:c>
      <x:c r="F28" s="63" t="n">
        <x:v>46268</x:v>
      </x:c>
      <x:c r="G28" s="62" t="str">
        <x:v>Normal</x:v>
      </x:c>
    </x:row>
    <x:row r="29" ht="15" customHeight="1">
      <x:c r="A29" s="62" t="str">
        <x:v>SO-26028</x:v>
      </x:c>
      <x:c r="B29" s="62" t="str">
        <x:v>Sample Customer E</x:v>
      </x:c>
      <x:c r="C29" s="62" t="str">
        <x:v>FG-019</x:v>
      </x:c>
      <x:c r="D29" s="62" t="str">
        <x:v>Guard White Product</x:v>
      </x:c>
      <x:c r="E29" s="62" t="n">
        <x:v>100</x:v>
      </x:c>
      <x:c r="F29" s="63" t="n">
        <x:v>46294</x:v>
      </x:c>
      <x:c r="G29" s="62" t="str">
        <x:v>High</x:v>
      </x:c>
    </x:row>
    <x:row r="30" ht="15" customHeight="1">
      <x:c r="A30" s="62" t="str">
        <x:v>SO-26029</x:v>
      </x:c>
      <x:c r="B30" s="62" t="str">
        <x:v>Sample Customer A</x:v>
      </x:c>
      <x:c r="C30" s="62" t="str">
        <x:v>FG-013</x:v>
      </x:c>
      <x:c r="D30" s="62" t="str">
        <x:v>Shield White Product</x:v>
      </x:c>
      <x:c r="E30" s="62" t="n">
        <x:v>100</x:v>
      </x:c>
      <x:c r="F30" s="63" t="n">
        <x:v>46258</x:v>
      </x:c>
      <x:c r="G30" s="62" t="str">
        <x:v>High</x:v>
      </x:c>
    </x:row>
    <x:row r="31" ht="15" customHeight="1">
      <x:c r="A31" s="62" t="str">
        <x:v>SO-26030</x:v>
      </x:c>
      <x:c r="B31" s="62" t="str">
        <x:v>Sample Customer A</x:v>
      </x:c>
      <x:c r="C31" s="62" t="str">
        <x:v>FG-011</x:v>
      </x:c>
      <x:c r="D31" s="62" t="str">
        <x:v>Guard Black Product</x:v>
      </x:c>
      <x:c r="E31" s="62" t="n">
        <x:v>30</x:v>
      </x:c>
      <x:c r="F31" s="63" t="n">
        <x:v>46269</x:v>
      </x:c>
      <x:c r="G31" s="62" t="str">
        <x:v>High</x:v>
      </x:c>
    </x:row>
    <x:row r="32" ht="15" customHeight="1">
      <x:c r="A32" s="62" t="str">
        <x:v>SO-26031</x:v>
      </x:c>
      <x:c r="B32" s="62" t="str">
        <x:v>Sample Customer D</x:v>
      </x:c>
      <x:c r="C32" s="62" t="str">
        <x:v>FG-015</x:v>
      </x:c>
      <x:c r="D32" s="62" t="str">
        <x:v>Guard Tan Product</x:v>
      </x:c>
      <x:c r="E32" s="62" t="n">
        <x:v>100</x:v>
      </x:c>
      <x:c r="F32" s="63" t="n">
        <x:v>46268</x:v>
      </x:c>
      <x:c r="G32" s="62" t="str">
        <x:v>High</x:v>
      </x:c>
    </x:row>
    <x:row r="33" ht="15" customHeight="1">
      <x:c r="A33" s="62" t="str">
        <x:v>SO-26032</x:v>
      </x:c>
      <x:c r="B33" s="62" t="str">
        <x:v>Sample Customer E</x:v>
      </x:c>
      <x:c r="C33" s="62" t="str">
        <x:v>FG-007</x:v>
      </x:c>
      <x:c r="D33" s="62" t="str">
        <x:v>Guard White Product</x:v>
      </x:c>
      <x:c r="E33" s="62" t="n">
        <x:v>20</x:v>
      </x:c>
      <x:c r="F33" s="63" t="n">
        <x:v>46289</x:v>
      </x:c>
      <x:c r="G33" s="62" t="str">
        <x:v>High</x:v>
      </x:c>
    </x:row>
    <x:row r="34" ht="15" customHeight="1">
      <x:c r="A34" s="62" t="str">
        <x:v>SO-26033</x:v>
      </x:c>
      <x:c r="B34" s="62" t="str">
        <x:v>Sample Customer A</x:v>
      </x:c>
      <x:c r="C34" s="62" t="str">
        <x:v>FG-021</x:v>
      </x:c>
      <x:c r="D34" s="62" t="str">
        <x:v>Shield Tan Product</x:v>
      </x:c>
      <x:c r="E34" s="62" t="n">
        <x:v>20</x:v>
      </x:c>
      <x:c r="F34" s="63" t="n">
        <x:v>46287</x:v>
      </x:c>
      <x:c r="G34" s="62" t="str">
        <x:v>Normal</x:v>
      </x:c>
    </x:row>
    <x:row r="35" ht="15" customHeight="1">
      <x:c r="A35" s="62" t="str">
        <x:v>SO-26034</x:v>
      </x:c>
      <x:c r="B35" s="62" t="str">
        <x:v>Sample Customer C</x:v>
      </x:c>
      <x:c r="C35" s="62" t="str">
        <x:v>FG-001</x:v>
      </x:c>
      <x:c r="D35" s="62" t="str">
        <x:v>Shield White Product</x:v>
      </x:c>
      <x:c r="E35" s="62" t="n">
        <x:v>10</x:v>
      </x:c>
      <x:c r="F35" s="63" t="n">
        <x:v>46275</x:v>
      </x:c>
      <x:c r="G35" s="62" t="str">
        <x:v>Normal</x:v>
      </x:c>
    </x:row>
    <x:row r="36" ht="15" customHeight="1">
      <x:c r="A36" s="62" t="str">
        <x:v>SO-26035</x:v>
      </x:c>
      <x:c r="B36" s="62" t="str">
        <x:v>Sample Customer B</x:v>
      </x:c>
      <x:c r="C36" s="62" t="str">
        <x:v>FG-014</x:v>
      </x:c>
      <x:c r="D36" s="62" t="str">
        <x:v>Flex Gray Product</x:v>
      </x:c>
      <x:c r="E36" s="62" t="n">
        <x:v>30</x:v>
      </x:c>
      <x:c r="F36" s="63" t="n">
        <x:v>46259</x:v>
      </x:c>
      <x:c r="G36" s="62" t="str">
        <x:v>High</x:v>
      </x:c>
    </x:row>
    <x:row r="37" ht="15" customHeight="1">
      <x:c r="A37" s="62" t="str">
        <x:v>SO-26036</x:v>
      </x:c>
      <x:c r="B37" s="62" t="str">
        <x:v>Sample Customer B</x:v>
      </x:c>
      <x:c r="C37" s="62" t="str">
        <x:v>FG-010</x:v>
      </x:c>
      <x:c r="D37" s="62" t="str">
        <x:v>Flex Blue Product</x:v>
      </x:c>
      <x:c r="E37" s="62" t="n">
        <x:v>80</x:v>
      </x:c>
      <x:c r="F37" s="63" t="n">
        <x:v>46268</x:v>
      </x:c>
      <x:c r="G37" s="62" t="str">
        <x:v>Normal</x:v>
      </x:c>
    </x:row>
    <x:row r="38" ht="15" customHeight="1">
      <x:c r="A38" s="62" t="str">
        <x:v>SO-26037</x:v>
      </x:c>
      <x:c r="B38" s="62" t="str">
        <x:v>Sample Customer C</x:v>
      </x:c>
      <x:c r="C38" s="62" t="str">
        <x:v>FG-009</x:v>
      </x:c>
      <x:c r="D38" s="62" t="str">
        <x:v>Shield Tan Product</x:v>
      </x:c>
      <x:c r="E38" s="62" t="n">
        <x:v>40</x:v>
      </x:c>
      <x:c r="F38" s="63" t="n">
        <x:v>46256</x:v>
      </x:c>
      <x:c r="G38" s="62" t="str">
        <x:v>Normal</x:v>
      </x:c>
    </x:row>
    <x:row r="39" ht="15" customHeight="1">
      <x:c r="A39" s="62" t="str">
        <x:v>SO-26038</x:v>
      </x:c>
      <x:c r="B39" s="62" t="str">
        <x:v>Sample Customer E</x:v>
      </x:c>
      <x:c r="C39" s="62" t="str">
        <x:v>FG-017</x:v>
      </x:c>
      <x:c r="D39" s="62" t="str">
        <x:v>Shield Black Product</x:v>
      </x:c>
      <x:c r="E39" s="62" t="n">
        <x:v>30</x:v>
      </x:c>
      <x:c r="F39" s="63" t="n">
        <x:v>46292</x:v>
      </x:c>
      <x:c r="G39" s="62" t="str">
        <x:v>Normal</x:v>
      </x:c>
    </x:row>
    <x:row r="40" ht="15" customHeight="1">
      <x:c r="A40" s="62" t="str">
        <x:v>SO-26039</x:v>
      </x:c>
      <x:c r="B40" s="62" t="str">
        <x:v>Sample Customer C</x:v>
      </x:c>
      <x:c r="C40" s="62" t="str">
        <x:v>FG-004</x:v>
      </x:c>
      <x:c r="D40" s="62" t="str">
        <x:v>Prime Blue Product</x:v>
      </x:c>
      <x:c r="E40" s="62" t="n">
        <x:v>80</x:v>
      </x:c>
      <x:c r="F40" s="63" t="n">
        <x:v>46262</x:v>
      </x:c>
      <x:c r="G40" s="62" t="str">
        <x:v>High</x:v>
      </x:c>
    </x:row>
    <x:row r="41" ht="15" customHeight="1">
      <x:c r="A41" s="62" t="str">
        <x:v>SO-26040</x:v>
      </x:c>
      <x:c r="B41" s="62" t="str">
        <x:v>Sample Customer A</x:v>
      </x:c>
      <x:c r="C41" s="62" t="str">
        <x:v>FG-011</x:v>
      </x:c>
      <x:c r="D41" s="62" t="str">
        <x:v>Guard Black Product</x:v>
      </x:c>
      <x:c r="E41" s="62" t="n">
        <x:v>60</x:v>
      </x:c>
      <x:c r="F41" s="63" t="n">
        <x:v>46262</x:v>
      </x:c>
      <x:c r="G41" s="62" t="str">
        <x:v>High</x:v>
      </x:c>
    </x:row>
    <x:row r="42" ht="15" customHeight="1">
      <x:c r="A42" s="62" t="str">
        <x:v>SO-26041</x:v>
      </x:c>
      <x:c r="B42" s="62" t="str">
        <x:v>Sample Customer D</x:v>
      </x:c>
      <x:c r="C42" s="62" t="str">
        <x:v>FG-009</x:v>
      </x:c>
      <x:c r="D42" s="62" t="str">
        <x:v>Shield Tan Product</x:v>
      </x:c>
      <x:c r="E42" s="62" t="n">
        <x:v>50</x:v>
      </x:c>
      <x:c r="F42" s="63" t="n">
        <x:v>46284</x:v>
      </x:c>
      <x:c r="G42" s="62" t="str">
        <x:v>Normal</x:v>
      </x:c>
    </x:row>
    <x:row r="43" ht="15" customHeight="1">
      <x:c r="A43" s="62" t="str">
        <x:v>SO-26042</x:v>
      </x:c>
      <x:c r="B43" s="62" t="str">
        <x:v>Sample Customer B</x:v>
      </x:c>
      <x:c r="C43" s="62" t="str">
        <x:v>FG-019</x:v>
      </x:c>
      <x:c r="D43" s="62" t="str">
        <x:v>Guard White Product</x:v>
      </x:c>
      <x:c r="E43" s="62" t="n">
        <x:v>50</x:v>
      </x:c>
      <x:c r="F43" s="63" t="n">
        <x:v>46288</x:v>
      </x:c>
      <x:c r="G43" s="62" t="str">
        <x:v>Normal</x:v>
      </x:c>
    </x:row>
    <x:row r="44" ht="15" customHeight="1">
      <x:c r="A44" s="62" t="str">
        <x:v>SO-26043</x:v>
      </x:c>
      <x:c r="B44" s="62" t="str">
        <x:v>Sample Customer A</x:v>
      </x:c>
      <x:c r="C44" s="62" t="str">
        <x:v>FG-024</x:v>
      </x:c>
      <x:c r="D44" s="62" t="str">
        <x:v>Prime Red Product</x:v>
      </x:c>
      <x:c r="E44" s="62" t="n">
        <x:v>10</x:v>
      </x:c>
      <x:c r="F44" s="63" t="n">
        <x:v>46257</x:v>
      </x:c>
      <x:c r="G44" s="62" t="str">
        <x:v>Normal</x:v>
      </x:c>
    </x:row>
    <x:row r="45" ht="15" customHeight="1">
      <x:c r="A45" s="62" t="str">
        <x:v>SO-26044</x:v>
      </x:c>
      <x:c r="B45" s="62" t="str">
        <x:v>Sample Customer B</x:v>
      </x:c>
      <x:c r="C45" s="62" t="str">
        <x:v>FG-024</x:v>
      </x:c>
      <x:c r="D45" s="62" t="str">
        <x:v>Prime Red Product</x:v>
      </x:c>
      <x:c r="E45" s="62" t="n">
        <x:v>10</x:v>
      </x:c>
      <x:c r="F45" s="63" t="n">
        <x:v>46283</x:v>
      </x:c>
      <x:c r="G45" s="62" t="str">
        <x:v>High</x:v>
      </x:c>
    </x:row>
    <x:row r="46" ht="15" customHeight="1">
      <x:c r="A46" s="62" t="str">
        <x:v>SO-26045</x:v>
      </x:c>
      <x:c r="B46" s="62" t="str">
        <x:v>Sample Customer C</x:v>
      </x:c>
      <x:c r="C46" s="62" t="str">
        <x:v>FG-021</x:v>
      </x:c>
      <x:c r="D46" s="62" t="str">
        <x:v>Shield Tan Product</x:v>
      </x:c>
      <x:c r="E46" s="62" t="n">
        <x:v>10</x:v>
      </x:c>
      <x:c r="F46" s="63" t="n">
        <x:v>46275</x:v>
      </x:c>
      <x:c r="G46" s="62" t="str">
        <x:v>Normal</x:v>
      </x:c>
    </x:row>
    <x:row r="47" ht="15" customHeight="1">
      <x:c r="A47" s="62" t="str">
        <x:v>SO-26046</x:v>
      </x:c>
      <x:c r="B47" s="62" t="str">
        <x:v>Sample Customer A</x:v>
      </x:c>
      <x:c r="C47" s="62" t="str">
        <x:v>FG-017</x:v>
      </x:c>
      <x:c r="D47" s="62" t="str">
        <x:v>Shield Black Product</x:v>
      </x:c>
      <x:c r="E47" s="62" t="n">
        <x:v>40</x:v>
      </x:c>
      <x:c r="F47" s="63" t="n">
        <x:v>46278</x:v>
      </x:c>
      <x:c r="G47" s="62" t="str">
        <x:v>Normal</x:v>
      </x:c>
    </x:row>
    <x:row r="48" ht="15" customHeight="1">
      <x:c r="A48" s="62" t="str">
        <x:v>SO-26047</x:v>
      </x:c>
      <x:c r="B48" s="62" t="str">
        <x:v>Sample Customer E</x:v>
      </x:c>
      <x:c r="C48" s="62" t="str">
        <x:v>FG-015</x:v>
      </x:c>
      <x:c r="D48" s="62" t="str">
        <x:v>Guard Tan Product</x:v>
      </x:c>
      <x:c r="E48" s="62" t="n">
        <x:v>60</x:v>
      </x:c>
      <x:c r="F48" s="63" t="n">
        <x:v>46274</x:v>
      </x:c>
      <x:c r="G48" s="62" t="str">
        <x:v>Normal</x:v>
      </x:c>
    </x:row>
    <x:row r="49" ht="15" customHeight="1">
      <x:c r="A49" s="62" t="str">
        <x:v>SO-26048</x:v>
      </x:c>
      <x:c r="B49" s="62" t="str">
        <x:v>Sample Customer C</x:v>
      </x:c>
      <x:c r="C49" s="62" t="str">
        <x:v>FG-016</x:v>
      </x:c>
      <x:c r="D49" s="62" t="str">
        <x:v>Prime Blue Product</x:v>
      </x:c>
      <x:c r="E49" s="62" t="n">
        <x:v>80</x:v>
      </x:c>
      <x:c r="F49" s="63" t="n">
        <x:v>46293</x:v>
      </x:c>
      <x:c r="G49" s="62" t="str">
        <x:v>Normal</x:v>
      </x:c>
    </x:row>
    <x:row r="50" ht="15" customHeight="1">
      <x:c r="A50" s="62" t="str">
        <x:v>SO-26049</x:v>
      </x:c>
      <x:c r="B50" s="62" t="str">
        <x:v>Sample Customer E</x:v>
      </x:c>
      <x:c r="C50" s="62" t="str">
        <x:v>FG-002</x:v>
      </x:c>
      <x:c r="D50" s="62" t="str">
        <x:v>Flex Gray Product</x:v>
      </x:c>
      <x:c r="E50" s="62" t="n">
        <x:v>60</x:v>
      </x:c>
      <x:c r="F50" s="63" t="n">
        <x:v>46282</x:v>
      </x:c>
      <x:c r="G50" s="62" t="str">
        <x:v>Normal</x:v>
      </x:c>
    </x:row>
    <x:row r="51" ht="15" customHeight="1">
      <x:c r="A51" s="62" t="str">
        <x:v>SO-26050</x:v>
      </x:c>
      <x:c r="B51" s="62" t="str">
        <x:v>Sample Customer D</x:v>
      </x:c>
      <x:c r="C51" s="62" t="str">
        <x:v>FG-013</x:v>
      </x:c>
      <x:c r="D51" s="62" t="str">
        <x:v>Shield White Product</x:v>
      </x:c>
      <x:c r="E51" s="62" t="n">
        <x:v>20</x:v>
      </x:c>
      <x:c r="F51" s="63" t="n">
        <x:v>46296</x:v>
      </x:c>
      <x:c r="G51" s="62" t="str">
        <x:v>Normal</x:v>
      </x:c>
    </x:row>
    <x:row r="52" ht="15" customHeight="1">
      <x:c r="A52" s="62" t="str">
        <x:v>SO-26051</x:v>
      </x:c>
      <x:c r="B52" s="62" t="str">
        <x:v>Sample Customer C</x:v>
      </x:c>
      <x:c r="C52" s="62" t="str">
        <x:v>FG-006</x:v>
      </x:c>
      <x:c r="D52" s="62" t="str">
        <x:v>Flex Red Product</x:v>
      </x:c>
      <x:c r="E52" s="62" t="n">
        <x:v>100</x:v>
      </x:c>
      <x:c r="F52" s="63" t="n">
        <x:v>46283</x:v>
      </x:c>
      <x:c r="G52" s="62" t="str">
        <x:v>High</x:v>
      </x:c>
    </x:row>
    <x:row r="53" ht="15" customHeight="1">
      <x:c r="A53" s="62" t="str">
        <x:v>SO-26052</x:v>
      </x:c>
      <x:c r="B53" s="62" t="str">
        <x:v>Sample Customer D</x:v>
      </x:c>
      <x:c r="C53" s="62" t="str">
        <x:v>FG-004</x:v>
      </x:c>
      <x:c r="D53" s="62" t="str">
        <x:v>Prime Blue Product</x:v>
      </x:c>
      <x:c r="E53" s="62" t="n">
        <x:v>60</x:v>
      </x:c>
      <x:c r="F53" s="63" t="n">
        <x:v>46275</x:v>
      </x:c>
      <x:c r="G53" s="62" t="str">
        <x:v>Normal</x:v>
      </x:c>
    </x:row>
    <x:row r="54" ht="15" customHeight="1">
      <x:c r="A54" s="62" t="str">
        <x:v>SO-26053</x:v>
      </x:c>
      <x:c r="B54" s="62" t="str">
        <x:v>Sample Customer B</x:v>
      </x:c>
      <x:c r="C54" s="62" t="str">
        <x:v>FG-011</x:v>
      </x:c>
      <x:c r="D54" s="62" t="str">
        <x:v>Guard Black Product</x:v>
      </x:c>
      <x:c r="E54" s="62" t="n">
        <x:v>40</x:v>
      </x:c>
      <x:c r="F54" s="63" t="n">
        <x:v>46280</x:v>
      </x:c>
      <x:c r="G54" s="62" t="str">
        <x:v>Normal</x:v>
      </x:c>
    </x:row>
    <x:row r="55" ht="15" customHeight="1">
      <x:c r="A55" s="62" t="str">
        <x:v>SO-26054</x:v>
      </x:c>
      <x:c r="B55" s="62" t="str">
        <x:v>Sample Customer A</x:v>
      </x:c>
      <x:c r="C55" s="62" t="str">
        <x:v>FG-012</x:v>
      </x:c>
      <x:c r="D55" s="62" t="str">
        <x:v>Prime Red Product</x:v>
      </x:c>
      <x:c r="E55" s="62" t="n">
        <x:v>10</x:v>
      </x:c>
      <x:c r="F55" s="63" t="n">
        <x:v>46285</x:v>
      </x:c>
      <x:c r="G55" s="62" t="str">
        <x:v>Normal</x:v>
      </x:c>
    </x:row>
    <x:row r="56" ht="15" customHeight="1">
      <x:c r="A56" s="62" t="str">
        <x:v>SO-26055</x:v>
      </x:c>
      <x:c r="B56" s="62" t="str">
        <x:v>Sample Customer E</x:v>
      </x:c>
      <x:c r="C56" s="62" t="str">
        <x:v>FG-018</x:v>
      </x:c>
      <x:c r="D56" s="62" t="str">
        <x:v>Flex Red Product</x:v>
      </x:c>
      <x:c r="E56" s="62" t="n">
        <x:v>100</x:v>
      </x:c>
      <x:c r="F56" s="63" t="n">
        <x:v>46258</x:v>
      </x:c>
      <x:c r="G56" s="62" t="str">
        <x:v>High</x:v>
      </x:c>
    </x:row>
    <x:row r="57" ht="15" customHeight="1">
      <x:c r="A57" s="62" t="str">
        <x:v>SO-26056</x:v>
      </x:c>
      <x:c r="B57" s="62" t="str">
        <x:v>Sample Customer D</x:v>
      </x:c>
      <x:c r="C57" s="62" t="str">
        <x:v>FG-010</x:v>
      </x:c>
      <x:c r="D57" s="62" t="str">
        <x:v>Flex Blue Product</x:v>
      </x:c>
      <x:c r="E57" s="62" t="n">
        <x:v>50</x:v>
      </x:c>
      <x:c r="F57" s="63" t="n">
        <x:v>46291</x:v>
      </x:c>
      <x:c r="G57" s="62" t="str">
        <x:v>High</x:v>
      </x:c>
    </x:row>
    <x:row r="58" ht="15" customHeight="1">
      <x:c r="A58" s="62" t="str">
        <x:v>SO-26057</x:v>
      </x:c>
      <x:c r="B58" s="62" t="str">
        <x:v>Sample Customer B</x:v>
      </x:c>
      <x:c r="C58" s="62" t="str">
        <x:v>FG-023</x:v>
      </x:c>
      <x:c r="D58" s="62" t="str">
        <x:v>Guard Black Product</x:v>
      </x:c>
      <x:c r="E58" s="62" t="n">
        <x:v>40</x:v>
      </x:c>
      <x:c r="F58" s="63" t="n">
        <x:v>46274</x:v>
      </x:c>
      <x:c r="G58" s="62" t="str">
        <x:v>Normal</x:v>
      </x:c>
    </x:row>
    <x:row r="59" ht="15" customHeight="1">
      <x:c r="A59" s="62" t="str">
        <x:v>SO-26058</x:v>
      </x:c>
      <x:c r="B59" s="62" t="str">
        <x:v>Sample Customer C</x:v>
      </x:c>
      <x:c r="C59" s="62" t="str">
        <x:v>FG-008</x:v>
      </x:c>
      <x:c r="D59" s="62" t="str">
        <x:v>Prime Gray Product</x:v>
      </x:c>
      <x:c r="E59" s="62" t="n">
        <x:v>100</x:v>
      </x:c>
      <x:c r="F59" s="63" t="n">
        <x:v>46271</x:v>
      </x:c>
      <x:c r="G59" s="62" t="str">
        <x:v>Normal</x:v>
      </x:c>
    </x:row>
    <x:row r="60" ht="15" customHeight="1">
      <x:c r="A60" s="62" t="str">
        <x:v>SO-26059</x:v>
      </x:c>
      <x:c r="B60" s="62" t="str">
        <x:v>Sample Customer E</x:v>
      </x:c>
      <x:c r="C60" s="62" t="str">
        <x:v>FG-001</x:v>
      </x:c>
      <x:c r="D60" s="62" t="str">
        <x:v>Shield White Product</x:v>
      </x:c>
      <x:c r="E60" s="62" t="n">
        <x:v>10</x:v>
      </x:c>
      <x:c r="F60" s="63" t="n">
        <x:v>46261</x:v>
      </x:c>
      <x:c r="G60" s="62" t="str">
        <x:v>Normal</x:v>
      </x:c>
    </x:row>
    <x:row r="61" ht="15" customHeight="1">
      <x:c r="A61" s="62" t="str">
        <x:v>SO-26060</x:v>
      </x:c>
      <x:c r="B61" s="62" t="str">
        <x:v>Sample Customer D</x:v>
      </x:c>
      <x:c r="C61" s="62" t="str">
        <x:v>FG-019</x:v>
      </x:c>
      <x:c r="D61" s="62" t="str">
        <x:v>Guard White Product</x:v>
      </x:c>
      <x:c r="E61" s="62" t="n">
        <x:v>50</x:v>
      </x:c>
      <x:c r="F61" s="63" t="n">
        <x:v>46258</x:v>
      </x:c>
      <x:c r="G61" s="62" t="str">
        <x:v>Normal</x:v>
      </x:c>
    </x:row>
    <x:row r="62" ht="15" customHeight="1">
      <x:c r="A62" s="62" t="str">
        <x:v>SO-26061</x:v>
      </x:c>
      <x:c r="B62" s="62" t="str">
        <x:v>Sample Customer C</x:v>
      </x:c>
      <x:c r="C62" s="62" t="str">
        <x:v>FG-017</x:v>
      </x:c>
      <x:c r="D62" s="62" t="str">
        <x:v>Shield Black Product</x:v>
      </x:c>
      <x:c r="E62" s="62" t="n">
        <x:v>50</x:v>
      </x:c>
      <x:c r="F62" s="63" t="n">
        <x:v>46282</x:v>
      </x:c>
      <x:c r="G62" s="62" t="str">
        <x:v>Normal</x:v>
      </x:c>
    </x:row>
    <x:row r="63" ht="15" customHeight="1">
      <x:c r="A63" s="62" t="str">
        <x:v>SO-26062</x:v>
      </x:c>
      <x:c r="B63" s="62" t="str">
        <x:v>Sample Customer A</x:v>
      </x:c>
      <x:c r="C63" s="62" t="str">
        <x:v>FG-003</x:v>
      </x:c>
      <x:c r="D63" s="62" t="str">
        <x:v>Guard Tan Product</x:v>
      </x:c>
      <x:c r="E63" s="62" t="n">
        <x:v>80</x:v>
      </x:c>
      <x:c r="F63" s="63" t="n">
        <x:v>46288</x:v>
      </x:c>
      <x:c r="G63" s="62" t="str">
        <x:v>Normal</x:v>
      </x:c>
    </x:row>
    <x:row r="64" ht="15" customHeight="1">
      <x:c r="A64" s="62" t="str">
        <x:v>SO-26063</x:v>
      </x:c>
      <x:c r="B64" s="62" t="str">
        <x:v>Sample Customer E</x:v>
      </x:c>
      <x:c r="C64" s="62" t="str">
        <x:v>FG-022</x:v>
      </x:c>
      <x:c r="D64" s="62" t="str">
        <x:v>Flex Blue Product</x:v>
      </x:c>
      <x:c r="E64" s="62" t="n">
        <x:v>40</x:v>
      </x:c>
      <x:c r="F64" s="63" t="n">
        <x:v>46283</x:v>
      </x:c>
      <x:c r="G64" s="62" t="str">
        <x:v>High</x:v>
      </x:c>
    </x:row>
    <x:row r="65" ht="15" customHeight="1">
      <x:c r="A65" s="62" t="str">
        <x:v>SO-26064</x:v>
      </x:c>
      <x:c r="B65" s="62" t="str">
        <x:v>Sample Customer C</x:v>
      </x:c>
      <x:c r="C65" s="62" t="str">
        <x:v>FG-004</x:v>
      </x:c>
      <x:c r="D65" s="62" t="str">
        <x:v>Prime Blue Product</x:v>
      </x:c>
      <x:c r="E65" s="62" t="n">
        <x:v>50</x:v>
      </x:c>
      <x:c r="F65" s="63" t="n">
        <x:v>46296</x:v>
      </x:c>
      <x:c r="G65" s="62" t="str">
        <x:v>Normal</x:v>
      </x:c>
    </x:row>
    <x:row r="66" ht="15" customHeight="1">
      <x:c r="A66" s="62" t="str">
        <x:v>SO-26065</x:v>
      </x:c>
      <x:c r="B66" s="62" t="str">
        <x:v>Sample Customer C</x:v>
      </x:c>
      <x:c r="C66" s="62" t="str">
        <x:v>FG-022</x:v>
      </x:c>
      <x:c r="D66" s="62" t="str">
        <x:v>Flex Blue Product</x:v>
      </x:c>
      <x:c r="E66" s="62" t="n">
        <x:v>20</x:v>
      </x:c>
      <x:c r="F66" s="63" t="n">
        <x:v>46266</x:v>
      </x:c>
      <x:c r="G66" s="62" t="str">
        <x:v>Normal</x:v>
      </x:c>
    </x:row>
    <x:row r="67" ht="15" customHeight="1">
      <x:c r="A67" s="62" t="str">
        <x:v>SO-26066</x:v>
      </x:c>
      <x:c r="B67" s="62" t="str">
        <x:v>Sample Customer C</x:v>
      </x:c>
      <x:c r="C67" s="62" t="str">
        <x:v>FG-002</x:v>
      </x:c>
      <x:c r="D67" s="62" t="str">
        <x:v>Flex Gray Product</x:v>
      </x:c>
      <x:c r="E67" s="62" t="n">
        <x:v>40</x:v>
      </x:c>
      <x:c r="F67" s="63" t="n">
        <x:v>46275</x:v>
      </x:c>
      <x:c r="G67" s="62" t="str">
        <x:v>Normal</x:v>
      </x:c>
    </x:row>
    <x:row r="68" ht="15" customHeight="1">
      <x:c r="A68" s="62" t="str">
        <x:v>SO-26067</x:v>
      </x:c>
      <x:c r="B68" s="62" t="str">
        <x:v>Sample Customer B</x:v>
      </x:c>
      <x:c r="C68" s="62" t="str">
        <x:v>FG-016</x:v>
      </x:c>
      <x:c r="D68" s="62" t="str">
        <x:v>Prime Blue Product</x:v>
      </x:c>
      <x:c r="E68" s="62" t="n">
        <x:v>100</x:v>
      </x:c>
      <x:c r="F68" s="63" t="n">
        <x:v>46282</x:v>
      </x:c>
      <x:c r="G68" s="62" t="str">
        <x:v>Normal</x:v>
      </x:c>
    </x:row>
    <x:row r="69" ht="15" customHeight="1">
      <x:c r="A69" s="62" t="str">
        <x:v>SO-26068</x:v>
      </x:c>
      <x:c r="B69" s="62" t="str">
        <x:v>Sample Customer C</x:v>
      </x:c>
      <x:c r="C69" s="62" t="str">
        <x:v>FG-003</x:v>
      </x:c>
      <x:c r="D69" s="62" t="str">
        <x:v>Guard Tan Product</x:v>
      </x:c>
      <x:c r="E69" s="62" t="n">
        <x:v>30</x:v>
      </x:c>
      <x:c r="F69" s="63" t="n">
        <x:v>46282</x:v>
      </x:c>
      <x:c r="G69" s="62" t="str">
        <x:v>Normal</x:v>
      </x:c>
    </x:row>
    <x:row r="70" ht="15" customHeight="1">
      <x:c r="A70" s="62" t="str">
        <x:v>SO-26069</x:v>
      </x:c>
      <x:c r="B70" s="62" t="str">
        <x:v>Sample Customer C</x:v>
      </x:c>
      <x:c r="C70" s="62" t="str">
        <x:v>FG-011</x:v>
      </x:c>
      <x:c r="D70" s="62" t="str">
        <x:v>Guard Black Product</x:v>
      </x:c>
      <x:c r="E70" s="62" t="n">
        <x:v>80</x:v>
      </x:c>
      <x:c r="F70" s="63" t="n">
        <x:v>46281</x:v>
      </x:c>
      <x:c r="G70" s="62" t="str">
        <x:v>Normal</x:v>
      </x:c>
    </x:row>
    <x:row r="71" ht="15" customHeight="1">
      <x:c r="A71" s="62" t="str">
        <x:v>SO-26070</x:v>
      </x:c>
      <x:c r="B71" s="62" t="str">
        <x:v>Sample Customer B</x:v>
      </x:c>
      <x:c r="C71" s="62" t="str">
        <x:v>FG-023</x:v>
      </x:c>
      <x:c r="D71" s="62" t="str">
        <x:v>Guard Black Product</x:v>
      </x:c>
      <x:c r="E71" s="62" t="n">
        <x:v>60</x:v>
      </x:c>
      <x:c r="F71" s="63" t="n">
        <x:v>46294</x:v>
      </x:c>
      <x:c r="G71" s="62" t="str">
        <x:v>High</x:v>
      </x:c>
    </x:row>
    <x:row r="72" ht="15" customHeight="1">
      <x:c r="A72" s="62" t="str">
        <x:v>SO-26071</x:v>
      </x:c>
      <x:c r="B72" s="62" t="str">
        <x:v>Sample Customer E</x:v>
      </x:c>
      <x:c r="C72" s="62" t="str">
        <x:v>FG-021</x:v>
      </x:c>
      <x:c r="D72" s="62" t="str">
        <x:v>Shield Tan Product</x:v>
      </x:c>
      <x:c r="E72" s="62" t="n">
        <x:v>100</x:v>
      </x:c>
      <x:c r="F72" s="63" t="n">
        <x:v>46270</x:v>
      </x:c>
      <x:c r="G72" s="62" t="str">
        <x:v>Normal</x:v>
      </x:c>
    </x:row>
    <x:row r="73" ht="15" customHeight="1">
      <x:c r="A73" s="62" t="str">
        <x:v>SO-26072</x:v>
      </x:c>
      <x:c r="B73" s="62" t="str">
        <x:v>Sample Customer D</x:v>
      </x:c>
      <x:c r="C73" s="62" t="str">
        <x:v>FG-019</x:v>
      </x:c>
      <x:c r="D73" s="62" t="str">
        <x:v>Guard White Product</x:v>
      </x:c>
      <x:c r="E73" s="62" t="n">
        <x:v>100</x:v>
      </x:c>
      <x:c r="F73" s="63" t="n">
        <x:v>46276</x:v>
      </x:c>
      <x:c r="G73" s="62" t="str">
        <x:v>High</x:v>
      </x:c>
    </x:row>
    <x:row r="74" ht="15" customHeight="1">
      <x:c r="A74" s="62" t="str">
        <x:v>SO-26073</x:v>
      </x:c>
      <x:c r="B74" s="62" t="str">
        <x:v>Sample Customer B</x:v>
      </x:c>
      <x:c r="C74" s="62" t="str">
        <x:v>FG-006</x:v>
      </x:c>
      <x:c r="D74" s="62" t="str">
        <x:v>Flex Red Product</x:v>
      </x:c>
      <x:c r="E74" s="62" t="n">
        <x:v>100</x:v>
      </x:c>
      <x:c r="F74" s="63" t="n">
        <x:v>46286</x:v>
      </x:c>
      <x:c r="G74" s="62" t="str">
        <x:v>High</x:v>
      </x:c>
    </x:row>
    <x:row r="75" ht="15" customHeight="1">
      <x:c r="A75" s="62" t="str">
        <x:v>SO-26074</x:v>
      </x:c>
      <x:c r="B75" s="62" t="str">
        <x:v>Sample Customer B</x:v>
      </x:c>
      <x:c r="C75" s="62" t="str">
        <x:v>FG-020</x:v>
      </x:c>
      <x:c r="D75" s="62" t="str">
        <x:v>Prime Gray Product</x:v>
      </x:c>
      <x:c r="E75" s="62" t="n">
        <x:v>80</x:v>
      </x:c>
      <x:c r="F75" s="63" t="n">
        <x:v>46291</x:v>
      </x:c>
      <x:c r="G75" s="62" t="str">
        <x:v>Normal</x:v>
      </x:c>
    </x:row>
    <x:row r="76" ht="15" customHeight="1">
      <x:c r="A76" s="62" t="str">
        <x:v>SO-26075</x:v>
      </x:c>
      <x:c r="B76" s="62" t="str">
        <x:v>Sample Customer D</x:v>
      </x:c>
      <x:c r="C76" s="62" t="str">
        <x:v>FG-016</x:v>
      </x:c>
      <x:c r="D76" s="62" t="str">
        <x:v>Prime Blue Product</x:v>
      </x:c>
      <x:c r="E76" s="62" t="n">
        <x:v>50</x:v>
      </x:c>
      <x:c r="F76" s="63" t="n">
        <x:v>46274</x:v>
      </x:c>
      <x:c r="G76" s="62" t="str">
        <x:v>Normal</x:v>
      </x:c>
    </x:row>
    <x:row r="77" ht="15" customHeight="1">
      <x:c r="A77" s="62" t="str">
        <x:v>SO-26076</x:v>
      </x:c>
      <x:c r="B77" s="62" t="str">
        <x:v>Sample Customer C</x:v>
      </x:c>
      <x:c r="C77" s="62" t="str">
        <x:v>FG-019</x:v>
      </x:c>
      <x:c r="D77" s="62" t="str">
        <x:v>Guard White Product</x:v>
      </x:c>
      <x:c r="E77" s="62" t="n">
        <x:v>50</x:v>
      </x:c>
      <x:c r="F77" s="63" t="n">
        <x:v>46278</x:v>
      </x:c>
      <x:c r="G77" s="62" t="str">
        <x:v>Normal</x:v>
      </x:c>
    </x:row>
    <x:row r="78" ht="15" customHeight="1">
      <x:c r="A78" s="62" t="str">
        <x:v>SO-26077</x:v>
      </x:c>
      <x:c r="B78" s="62" t="str">
        <x:v>Sample Customer A</x:v>
      </x:c>
      <x:c r="C78" s="62" t="str">
        <x:v>FG-013</x:v>
      </x:c>
      <x:c r="D78" s="62" t="str">
        <x:v>Shield White Product</x:v>
      </x:c>
      <x:c r="E78" s="62" t="n">
        <x:v>100</x:v>
      </x:c>
      <x:c r="F78" s="63" t="n">
        <x:v>46275</x:v>
      </x:c>
      <x:c r="G78" s="62" t="str">
        <x:v>High</x:v>
      </x:c>
    </x:row>
    <x:row r="79" ht="15" customHeight="1">
      <x:c r="A79" s="62" t="str">
        <x:v>SO-26078</x:v>
      </x:c>
      <x:c r="B79" s="62" t="str">
        <x:v>Sample Customer D</x:v>
      </x:c>
      <x:c r="C79" s="62" t="str">
        <x:v>FG-002</x:v>
      </x:c>
      <x:c r="D79" s="62" t="str">
        <x:v>Flex Gray Product</x:v>
      </x:c>
      <x:c r="E79" s="62" t="n">
        <x:v>30</x:v>
      </x:c>
      <x:c r="F79" s="63" t="n">
        <x:v>46295</x:v>
      </x:c>
      <x:c r="G79" s="62" t="str">
        <x:v>High</x:v>
      </x:c>
    </x:row>
    <x:row r="80" ht="15" customHeight="1">
      <x:c r="A80" s="62" t="str">
        <x:v>SO-26079</x:v>
      </x:c>
      <x:c r="B80" s="62" t="str">
        <x:v>Sample Customer E</x:v>
      </x:c>
      <x:c r="C80" s="62" t="str">
        <x:v>FG-014</x:v>
      </x:c>
      <x:c r="D80" s="62" t="str">
        <x:v>Flex Gray Product</x:v>
      </x:c>
      <x:c r="E80" s="62" t="n">
        <x:v>30</x:v>
      </x:c>
      <x:c r="F80" s="63" t="n">
        <x:v>46263</x:v>
      </x:c>
      <x:c r="G80" s="62" t="str">
        <x:v>High</x:v>
      </x:c>
    </x:row>
    <x:row r="81" ht="15" customHeight="1">
      <x:c r="A81" s="62" t="str">
        <x:v>SO-26080</x:v>
      </x:c>
      <x:c r="B81" s="62" t="str">
        <x:v>Sample Customer A</x:v>
      </x:c>
      <x:c r="C81" s="62" t="str">
        <x:v>FG-006</x:v>
      </x:c>
      <x:c r="D81" s="62" t="str">
        <x:v>Flex Red Product</x:v>
      </x:c>
      <x:c r="E81" s="62" t="n">
        <x:v>100</x:v>
      </x:c>
      <x:c r="F81" s="63" t="n">
        <x:v>46280</x:v>
      </x:c>
      <x:c r="G81" s="62" t="str">
        <x:v>Normal</x:v>
      </x:c>
    </x:row>
    <x:row r="82" ht="15" customHeight="1">
      <x:c r="A82" s="62" t="str">
        <x:v>SO-26081</x:v>
      </x:c>
      <x:c r="B82" s="62" t="str">
        <x:v>Sample Customer A</x:v>
      </x:c>
      <x:c r="C82" s="62" t="str">
        <x:v>FG-018</x:v>
      </x:c>
      <x:c r="D82" s="62" t="str">
        <x:v>Flex Red Product</x:v>
      </x:c>
      <x:c r="E82" s="62" t="n">
        <x:v>30</x:v>
      </x:c>
      <x:c r="F82" s="63" t="n">
        <x:v>46276</x:v>
      </x:c>
      <x:c r="G82" s="62" t="str">
        <x:v>Normal</x:v>
      </x:c>
    </x:row>
    <x:row r="83" ht="15" customHeight="1">
      <x:c r="A83" s="62" t="str">
        <x:v>SO-26082</x:v>
      </x:c>
      <x:c r="B83" s="62" t="str">
        <x:v>Sample Customer B</x:v>
      </x:c>
      <x:c r="C83" s="62" t="str">
        <x:v>FG-003</x:v>
      </x:c>
      <x:c r="D83" s="62" t="str">
        <x:v>Guard Tan Product</x:v>
      </x:c>
      <x:c r="E83" s="62" t="n">
        <x:v>20</x:v>
      </x:c>
      <x:c r="F83" s="63" t="n">
        <x:v>46255</x:v>
      </x:c>
      <x:c r="G83" s="62" t="str">
        <x:v>High</x:v>
      </x:c>
    </x:row>
    <x:row r="84" ht="15" customHeight="1">
      <x:c r="A84" s="62" t="str">
        <x:v>SO-26083</x:v>
      </x:c>
      <x:c r="B84" s="62" t="str">
        <x:v>Sample Customer D</x:v>
      </x:c>
      <x:c r="C84" s="62" t="str">
        <x:v>FG-021</x:v>
      </x:c>
      <x:c r="D84" s="62" t="str">
        <x:v>Shield Tan Product</x:v>
      </x:c>
      <x:c r="E84" s="62" t="n">
        <x:v>100</x:v>
      </x:c>
      <x:c r="F84" s="63" t="n">
        <x:v>46257</x:v>
      </x:c>
      <x:c r="G84" s="62" t="str">
        <x:v>Normal</x:v>
      </x:c>
    </x:row>
    <x:row r="85" ht="15" customHeight="1">
      <x:c r="A85" s="62" t="str">
        <x:v>SO-26084</x:v>
      </x:c>
      <x:c r="B85" s="62" t="str">
        <x:v>Sample Customer E</x:v>
      </x:c>
      <x:c r="C85" s="62" t="str">
        <x:v>FG-012</x:v>
      </x:c>
      <x:c r="D85" s="62" t="str">
        <x:v>Prime Red Product</x:v>
      </x:c>
      <x:c r="E85" s="62" t="n">
        <x:v>20</x:v>
      </x:c>
      <x:c r="F85" s="63" t="n">
        <x:v>46289</x:v>
      </x:c>
      <x:c r="G85" s="62" t="str">
        <x:v>High</x:v>
      </x:c>
    </x:row>
    <x:row r="86" ht="15" customHeight="1">
      <x:c r="A86" s="62" t="str">
        <x:v>SO-26085</x:v>
      </x:c>
      <x:c r="B86" s="62" t="str">
        <x:v>Sample Customer E</x:v>
      </x:c>
      <x:c r="C86" s="62" t="str">
        <x:v>FG-015</x:v>
      </x:c>
      <x:c r="D86" s="62" t="str">
        <x:v>Guard Tan Product</x:v>
      </x:c>
      <x:c r="E86" s="62" t="n">
        <x:v>40</x:v>
      </x:c>
      <x:c r="F86" s="63" t="n">
        <x:v>46293</x:v>
      </x:c>
      <x:c r="G86" s="62" t="str">
        <x:v>Normal</x:v>
      </x:c>
    </x:row>
    <x:row r="87" ht="15" customHeight="1">
      <x:c r="A87" s="62" t="str">
        <x:v>SO-26086</x:v>
      </x:c>
      <x:c r="B87" s="62" t="str">
        <x:v>Sample Customer B</x:v>
      </x:c>
      <x:c r="C87" s="62" t="str">
        <x:v>FG-014</x:v>
      </x:c>
      <x:c r="D87" s="62" t="str">
        <x:v>Flex Gray Product</x:v>
      </x:c>
      <x:c r="E87" s="62" t="n">
        <x:v>10</x:v>
      </x:c>
      <x:c r="F87" s="63" t="n">
        <x:v>46280</x:v>
      </x:c>
      <x:c r="G87" s="62" t="str">
        <x:v>Normal</x:v>
      </x:c>
    </x:row>
    <x:row r="88" ht="15" customHeight="1">
      <x:c r="A88" s="62" t="str">
        <x:v>SO-26087</x:v>
      </x:c>
      <x:c r="B88" s="62" t="str">
        <x:v>Sample Customer B</x:v>
      </x:c>
      <x:c r="C88" s="62" t="str">
        <x:v>FG-017</x:v>
      </x:c>
      <x:c r="D88" s="62" t="str">
        <x:v>Shield Black Product</x:v>
      </x:c>
      <x:c r="E88" s="62" t="n">
        <x:v>50</x:v>
      </x:c>
      <x:c r="F88" s="63" t="n">
        <x:v>46285</x:v>
      </x:c>
      <x:c r="G88" s="62" t="str">
        <x:v>Normal</x:v>
      </x:c>
    </x:row>
    <x:row r="89" ht="15" customHeight="1">
      <x:c r="A89" s="62" t="str">
        <x:v>SO-26088</x:v>
      </x:c>
      <x:c r="B89" s="62" t="str">
        <x:v>Sample Customer A</x:v>
      </x:c>
      <x:c r="C89" s="62" t="str">
        <x:v>FG-019</x:v>
      </x:c>
      <x:c r="D89" s="62" t="str">
        <x:v>Guard White Product</x:v>
      </x:c>
      <x:c r="E89" s="62" t="n">
        <x:v>10</x:v>
      </x:c>
      <x:c r="F89" s="63" t="n">
        <x:v>46295</x:v>
      </x:c>
      <x:c r="G89" s="62" t="str">
        <x:v>High</x:v>
      </x:c>
    </x:row>
    <x:row r="90" ht="15" customHeight="1">
      <x:c r="A90" s="62" t="str">
        <x:v>SO-26089</x:v>
      </x:c>
      <x:c r="B90" s="62" t="str">
        <x:v>Sample Customer E</x:v>
      </x:c>
      <x:c r="C90" s="62" t="str">
        <x:v>FG-020</x:v>
      </x:c>
      <x:c r="D90" s="62" t="str">
        <x:v>Prime Gray Product</x:v>
      </x:c>
      <x:c r="E90" s="62" t="n">
        <x:v>40</x:v>
      </x:c>
      <x:c r="F90" s="63" t="n">
        <x:v>46261</x:v>
      </x:c>
      <x:c r="G90" s="62" t="str">
        <x:v>High</x:v>
      </x:c>
    </x:row>
    <x:row r="91" ht="15" customHeight="1">
      <x:c r="A91" s="62" t="str">
        <x:v>SO-26090</x:v>
      </x:c>
      <x:c r="B91" s="62" t="str">
        <x:v>Sample Customer B</x:v>
      </x:c>
      <x:c r="C91" s="62" t="str">
        <x:v>FG-024</x:v>
      </x:c>
      <x:c r="D91" s="62" t="str">
        <x:v>Prime Red Product</x:v>
      </x:c>
      <x:c r="E91" s="62" t="n">
        <x:v>40</x:v>
      </x:c>
      <x:c r="F91" s="63" t="n">
        <x:v>46285</x:v>
      </x:c>
      <x:c r="G91" s="62" t="str">
        <x:v>Normal</x:v>
      </x:c>
    </x:row>
  </x:sheetData>
  <x:conditionalFormatting sqref="G2:G91">
    <x:cfRule type="containsText" dxfId="27" priority="1" operator="containsText" text="High"/>
  </x:conditionalFormatting>
  <x:dataValidations count="1">
    <x:dataValidation type="list" sqref="G2:G91">
      <x:formula1>"High,Normal"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10b1839ef294ec2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.890000343322754" hidden="0" customWidth="1"/>
    <x:col min="2" max="2" width="19.440000534057617" hidden="0" customWidth="1"/>
    <x:col min="3" max="3" width="10" hidden="0" customWidth="1"/>
    <x:col min="4" max="4" width="18.889999389648438" hidden="0" customWidth="1"/>
    <x:col min="5" max="5" width="9.779999732971191" hidden="0" customWidth="1"/>
    <x:col min="6" max="6" width="6.889999866485596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</x:cols>
  <x:sheetData>
    <x:row r="1" ht="27" customHeight="1">
      <x:c r="A1" s="60" t="str">
        <x:v>Finished Good</x:v>
      </x:c>
      <x:c r="B1" s="61" t="str">
        <x:v>FG Description</x:v>
      </x:c>
      <x:c r="C1" s="61" t="str">
        <x:v>Raw Material</x:v>
      </x:c>
      <x:c r="D1" s="61" t="str">
        <x:v>RM Description</x:v>
      </x:c>
      <x:c r="E1" s="61" t="str">
        <x:v>Qty per FG Unit</x:v>
      </x:c>
      <x:c r="F1" s="61" t="str">
        <x:v>UOM</x:v>
      </x:c>
    </x:row>
    <x:row r="2" ht="15" customHeight="1">
      <x:c r="A2" s="62" t="str">
        <x:v>FG-001</x:v>
      </x:c>
      <x:c r="B2" s="62" t="str">
        <x:v>Shield White Product</x:v>
      </x:c>
      <x:c r="C2" s="62" t="str">
        <x:v>RM-048</x:v>
      </x:c>
      <x:c r="D2" s="62" t="str">
        <x:v>Filler 048</x:v>
      </x:c>
      <x:c r="E2" s="62" t="n">
        <x:v>11.19</x:v>
      </x:c>
      <x:c r="F2" s="62" t="str">
        <x:v>GAL</x:v>
      </x:c>
    </x:row>
    <x:row r="3" ht="15" customHeight="1">
      <x:c r="A3" s="62" t="str">
        <x:v>FG-001</x:v>
      </x:c>
      <x:c r="B3" s="62" t="str">
        <x:v>Shield White Product</x:v>
      </x:c>
      <x:c r="C3" s="62" t="str">
        <x:v>RM-025</x:v>
      </x:c>
      <x:c r="D3" s="62" t="str">
        <x:v>Packaging 025</x:v>
      </x:c>
      <x:c r="E3" s="62" t="n">
        <x:v>15.13</x:v>
      </x:c>
      <x:c r="F3" s="62" t="str">
        <x:v>EA</x:v>
      </x:c>
    </x:row>
    <x:row r="4" ht="15" customHeight="1">
      <x:c r="A4" s="62" t="str">
        <x:v>FG-001</x:v>
      </x:c>
      <x:c r="B4" s="62" t="str">
        <x:v>Shield White Product</x:v>
      </x:c>
      <x:c r="C4" s="62" t="str">
        <x:v>RM-008</x:v>
      </x:c>
      <x:c r="D4" s="62" t="str">
        <x:v>Filler 008</x:v>
      </x:c>
      <x:c r="E4" s="62" t="n">
        <x:v>50.81</x:v>
      </x:c>
      <x:c r="F4" s="62" t="str">
        <x:v>GAL</x:v>
      </x:c>
    </x:row>
    <x:row r="5" ht="15" customHeight="1">
      <x:c r="A5" s="62" t="str">
        <x:v>FG-001</x:v>
      </x:c>
      <x:c r="B5" s="62" t="str">
        <x:v>Shield White Product</x:v>
      </x:c>
      <x:c r="C5" s="62" t="str">
        <x:v>RM-036</x:v>
      </x:c>
      <x:c r="D5" s="62" t="str">
        <x:v>Resin 036</x:v>
      </x:c>
      <x:c r="E5" s="62" t="n">
        <x:v>37.95</x:v>
      </x:c>
      <x:c r="F5" s="62" t="str">
        <x:v>EA</x:v>
      </x:c>
    </x:row>
    <x:row r="6" ht="15" customHeight="1">
      <x:c r="A6" s="62" t="str">
        <x:v>FG-001</x:v>
      </x:c>
      <x:c r="B6" s="62" t="str">
        <x:v>Shield White Product</x:v>
      </x:c>
      <x:c r="C6" s="62" t="str">
        <x:v>RM-066</x:v>
      </x:c>
      <x:c r="D6" s="62" t="str">
        <x:v>Resin 066</x:v>
      </x:c>
      <x:c r="E6" s="62" t="n">
        <x:v>38.59</x:v>
      </x:c>
      <x:c r="F6" s="62" t="str">
        <x:v>LB</x:v>
      </x:c>
    </x:row>
    <x:row r="7" ht="15" customHeight="1">
      <x:c r="A7" s="62" t="str">
        <x:v>FG-002</x:v>
      </x:c>
      <x:c r="B7" s="62" t="str">
        <x:v>Flex Gray Product</x:v>
      </x:c>
      <x:c r="C7" s="62" t="str">
        <x:v>RM-011</x:v>
      </x:c>
      <x:c r="D7" s="62" t="str">
        <x:v>Resin 011</x:v>
      </x:c>
      <x:c r="E7" s="62" t="n">
        <x:v>52.57</x:v>
      </x:c>
      <x:c r="F7" s="62" t="str">
        <x:v>LB</x:v>
      </x:c>
    </x:row>
    <x:row r="8" ht="15" customHeight="1">
      <x:c r="A8" s="62" t="str">
        <x:v>FG-002</x:v>
      </x:c>
      <x:c r="B8" s="62" t="str">
        <x:v>Flex Gray Product</x:v>
      </x:c>
      <x:c r="C8" s="62" t="str">
        <x:v>RM-028</x:v>
      </x:c>
      <x:c r="D8" s="62" t="str">
        <x:v>Filler 028</x:v>
      </x:c>
      <x:c r="E8" s="62" t="n">
        <x:v>31.59</x:v>
      </x:c>
      <x:c r="F8" s="62" t="str">
        <x:v>EA</x:v>
      </x:c>
    </x:row>
    <x:row r="9" ht="15" customHeight="1">
      <x:c r="A9" s="62" t="str">
        <x:v>FG-002</x:v>
      </x:c>
      <x:c r="B9" s="62" t="str">
        <x:v>Flex Gray Product</x:v>
      </x:c>
      <x:c r="C9" s="62" t="str">
        <x:v>RM-009</x:v>
      </x:c>
      <x:c r="D9" s="62" t="str">
        <x:v>Additive 009</x:v>
      </x:c>
      <x:c r="E9" s="62" t="n">
        <x:v>117.77</x:v>
      </x:c>
      <x:c r="F9" s="62" t="str">
        <x:v>EA</x:v>
      </x:c>
    </x:row>
    <x:row r="10" ht="15" customHeight="1">
      <x:c r="A10" s="62" t="str">
        <x:v>FG-002</x:v>
      </x:c>
      <x:c r="B10" s="62" t="str">
        <x:v>Flex Gray Product</x:v>
      </x:c>
      <x:c r="C10" s="62" t="str">
        <x:v>RM-054</x:v>
      </x:c>
      <x:c r="D10" s="62" t="str">
        <x:v>Additive 054</x:v>
      </x:c>
      <x:c r="E10" s="62" t="n">
        <x:v>85.79</x:v>
      </x:c>
      <x:c r="F10" s="62" t="str">
        <x:v>LB</x:v>
      </x:c>
    </x:row>
    <x:row r="11" ht="15" customHeight="1">
      <x:c r="A11" s="62" t="str">
        <x:v>FG-002</x:v>
      </x:c>
      <x:c r="B11" s="62" t="str">
        <x:v>Flex Gray Product</x:v>
      </x:c>
      <x:c r="C11" s="62" t="str">
        <x:v>RM-026</x:v>
      </x:c>
      <x:c r="D11" s="62" t="str">
        <x:v>Resin 026</x:v>
      </x:c>
      <x:c r="E11" s="62" t="n">
        <x:v>45.6</x:v>
      </x:c>
      <x:c r="F11" s="62" t="str">
        <x:v>LB</x:v>
      </x:c>
    </x:row>
    <x:row r="12" ht="15" customHeight="1">
      <x:c r="A12" s="62" t="str">
        <x:v>FG-002</x:v>
      </x:c>
      <x:c r="B12" s="62" t="str">
        <x:v>Flex Gray Product</x:v>
      </x:c>
      <x:c r="C12" s="62" t="str">
        <x:v>RM-058</x:v>
      </x:c>
      <x:c r="D12" s="62" t="str">
        <x:v>Filler 058</x:v>
      </x:c>
      <x:c r="E12" s="62" t="n">
        <x:v>110.47</x:v>
      </x:c>
      <x:c r="F12" s="62" t="str">
        <x:v>LB</x:v>
      </x:c>
    </x:row>
    <x:row r="13" ht="15" customHeight="1">
      <x:c r="A13" s="62" t="str">
        <x:v>FG-002</x:v>
      </x:c>
      <x:c r="B13" s="62" t="str">
        <x:v>Flex Gray Product</x:v>
      </x:c>
      <x:c r="C13" s="62" t="str">
        <x:v>RM-035</x:v>
      </x:c>
      <x:c r="D13" s="62" t="str">
        <x:v>Packaging 035</x:v>
      </x:c>
      <x:c r="E13" s="62" t="n">
        <x:v>109.92</x:v>
      </x:c>
      <x:c r="F13" s="62" t="str">
        <x:v>GAL</x:v>
      </x:c>
    </x:row>
    <x:row r="14" ht="15" customHeight="1">
      <x:c r="A14" s="62" t="str">
        <x:v>FG-003</x:v>
      </x:c>
      <x:c r="B14" s="62" t="str">
        <x:v>Guard Tan Product</x:v>
      </x:c>
      <x:c r="C14" s="62" t="str">
        <x:v>RM-008</x:v>
      </x:c>
      <x:c r="D14" s="62" t="str">
        <x:v>Filler 008</x:v>
      </x:c>
      <x:c r="E14" s="62" t="n">
        <x:v>66.47</x:v>
      </x:c>
      <x:c r="F14" s="62" t="str">
        <x:v>GAL</x:v>
      </x:c>
    </x:row>
    <x:row r="15" ht="15" customHeight="1">
      <x:c r="A15" s="62" t="str">
        <x:v>FG-003</x:v>
      </x:c>
      <x:c r="B15" s="62" t="str">
        <x:v>Guard Tan Product</x:v>
      </x:c>
      <x:c r="C15" s="62" t="str">
        <x:v>RM-011</x:v>
      </x:c>
      <x:c r="D15" s="62" t="str">
        <x:v>Resin 011</x:v>
      </x:c>
      <x:c r="E15" s="62" t="n">
        <x:v>35.21</x:v>
      </x:c>
      <x:c r="F15" s="62" t="str">
        <x:v>LB</x:v>
      </x:c>
    </x:row>
    <x:row r="16" ht="15" customHeight="1">
      <x:c r="A16" s="62" t="str">
        <x:v>FG-003</x:v>
      </x:c>
      <x:c r="B16" s="62" t="str">
        <x:v>Guard Tan Product</x:v>
      </x:c>
      <x:c r="C16" s="62" t="str">
        <x:v>RM-066</x:v>
      </x:c>
      <x:c r="D16" s="62" t="str">
        <x:v>Resin 066</x:v>
      </x:c>
      <x:c r="E16" s="62" t="n">
        <x:v>36.29</x:v>
      </x:c>
      <x:c r="F16" s="62" t="str">
        <x:v>LB</x:v>
      </x:c>
    </x:row>
    <x:row r="17" ht="15" customHeight="1">
      <x:c r="A17" s="62" t="str">
        <x:v>FG-003</x:v>
      </x:c>
      <x:c r="B17" s="62" t="str">
        <x:v>Guard Tan Product</x:v>
      </x:c>
      <x:c r="C17" s="62" t="str">
        <x:v>RM-022</x:v>
      </x:c>
      <x:c r="D17" s="62" t="str">
        <x:v>Pigment 022</x:v>
      </x:c>
      <x:c r="E17" s="62" t="n">
        <x:v>56.17</x:v>
      </x:c>
      <x:c r="F17" s="62" t="str">
        <x:v>LB</x:v>
      </x:c>
    </x:row>
    <x:row r="18" ht="15" customHeight="1">
      <x:c r="A18" s="62" t="str">
        <x:v>FG-003</x:v>
      </x:c>
      <x:c r="B18" s="62" t="str">
        <x:v>Guard Tan Product</x:v>
      </x:c>
      <x:c r="C18" s="62" t="str">
        <x:v>RM-009</x:v>
      </x:c>
      <x:c r="D18" s="62" t="str">
        <x:v>Additive 009</x:v>
      </x:c>
      <x:c r="E18" s="62" t="n">
        <x:v>23.43</x:v>
      </x:c>
      <x:c r="F18" s="62" t="str">
        <x:v>EA</x:v>
      </x:c>
    </x:row>
    <x:row r="19" ht="15" customHeight="1">
      <x:c r="A19" s="62" t="str">
        <x:v>FG-003</x:v>
      </x:c>
      <x:c r="B19" s="62" t="str">
        <x:v>Guard Tan Product</x:v>
      </x:c>
      <x:c r="C19" s="62" t="str">
        <x:v>RM-025</x:v>
      </x:c>
      <x:c r="D19" s="62" t="str">
        <x:v>Packaging 025</x:v>
      </x:c>
      <x:c r="E19" s="62" t="n">
        <x:v>72.69</x:v>
      </x:c>
      <x:c r="F19" s="62" t="str">
        <x:v>EA</x:v>
      </x:c>
    </x:row>
    <x:row r="20" ht="15" customHeight="1">
      <x:c r="A20" s="62" t="str">
        <x:v>FG-003</x:v>
      </x:c>
      <x:c r="B20" s="62" t="str">
        <x:v>Guard Tan Product</x:v>
      </x:c>
      <x:c r="C20" s="62" t="str">
        <x:v>RM-047</x:v>
      </x:c>
      <x:c r="D20" s="62" t="str">
        <x:v>Pigment 047</x:v>
      </x:c>
      <x:c r="E20" s="62" t="n">
        <x:v>37.94</x:v>
      </x:c>
      <x:c r="F20" s="62" t="str">
        <x:v>GAL</x:v>
      </x:c>
    </x:row>
    <x:row r="21" ht="15" customHeight="1">
      <x:c r="A21" s="62" t="str">
        <x:v>FG-003</x:v>
      </x:c>
      <x:c r="B21" s="62" t="str">
        <x:v>Guard Tan Product</x:v>
      </x:c>
      <x:c r="C21" s="62" t="str">
        <x:v>RM-010</x:v>
      </x:c>
      <x:c r="D21" s="62" t="str">
        <x:v>Packaging 010</x:v>
      </x:c>
      <x:c r="E21" s="62" t="n">
        <x:v>62.89</x:v>
      </x:c>
      <x:c r="F21" s="62" t="str">
        <x:v>LB</x:v>
      </x:c>
    </x:row>
    <x:row r="22" ht="15" customHeight="1">
      <x:c r="A22" s="62" t="str">
        <x:v>FG-004</x:v>
      </x:c>
      <x:c r="B22" s="62" t="str">
        <x:v>Prime Blue Product</x:v>
      </x:c>
      <x:c r="C22" s="62" t="str">
        <x:v>RM-010</x:v>
      </x:c>
      <x:c r="D22" s="62" t="str">
        <x:v>Packaging 010</x:v>
      </x:c>
      <x:c r="E22" s="62" t="n">
        <x:v>41.21</x:v>
      </x:c>
      <x:c r="F22" s="62" t="str">
        <x:v>LB</x:v>
      </x:c>
    </x:row>
    <x:row r="23" ht="15" customHeight="1">
      <x:c r="A23" s="62" t="str">
        <x:v>FG-004</x:v>
      </x:c>
      <x:c r="B23" s="62" t="str">
        <x:v>Prime Blue Product</x:v>
      </x:c>
      <x:c r="C23" s="62" t="str">
        <x:v>RM-034</x:v>
      </x:c>
      <x:c r="D23" s="62" t="str">
        <x:v>Additive 034</x:v>
      </x:c>
      <x:c r="E23" s="62" t="n">
        <x:v>107.4</x:v>
      </x:c>
      <x:c r="F23" s="62" t="str">
        <x:v>EA</x:v>
      </x:c>
    </x:row>
    <x:row r="24" ht="15" customHeight="1">
      <x:c r="A24" s="62" t="str">
        <x:v>FG-004</x:v>
      </x:c>
      <x:c r="B24" s="62" t="str">
        <x:v>Prime Blue Product</x:v>
      </x:c>
      <x:c r="C24" s="62" t="str">
        <x:v>RM-061</x:v>
      </x:c>
      <x:c r="D24" s="62" t="str">
        <x:v>Resin 061</x:v>
      </x:c>
      <x:c r="E24" s="62" t="n">
        <x:v>85.98</x:v>
      </x:c>
      <x:c r="F24" s="62" t="str">
        <x:v>EA</x:v>
      </x:c>
    </x:row>
    <x:row r="25" ht="15" customHeight="1">
      <x:c r="A25" s="62" t="str">
        <x:v>FG-004</x:v>
      </x:c>
      <x:c r="B25" s="62" t="str">
        <x:v>Prime Blue Product</x:v>
      </x:c>
      <x:c r="C25" s="62" t="str">
        <x:v>RM-007</x:v>
      </x:c>
      <x:c r="D25" s="62" t="str">
        <x:v>Pigment 007</x:v>
      </x:c>
      <x:c r="E25" s="62" t="n">
        <x:v>40.66</x:v>
      </x:c>
      <x:c r="F25" s="62" t="str">
        <x:v>LB</x:v>
      </x:c>
    </x:row>
    <x:row r="26" ht="15" customHeight="1">
      <x:c r="A26" s="62" t="str">
        <x:v>FG-004</x:v>
      </x:c>
      <x:c r="B26" s="62" t="str">
        <x:v>Prime Blue Product</x:v>
      </x:c>
      <x:c r="C26" s="62" t="str">
        <x:v>RM-045</x:v>
      </x:c>
      <x:c r="D26" s="62" t="str">
        <x:v>Packaging 045</x:v>
      </x:c>
      <x:c r="E26" s="62" t="n">
        <x:v>48.84</x:v>
      </x:c>
      <x:c r="F26" s="62" t="str">
        <x:v>EA</x:v>
      </x:c>
    </x:row>
    <x:row r="27" ht="15" customHeight="1">
      <x:c r="A27" s="62" t="str">
        <x:v>FG-004</x:v>
      </x:c>
      <x:c r="B27" s="62" t="str">
        <x:v>Prime Blue Product</x:v>
      </x:c>
      <x:c r="C27" s="62" t="str">
        <x:v>RM-013</x:v>
      </x:c>
      <x:c r="D27" s="62" t="str">
        <x:v>Filler 013</x:v>
      </x:c>
      <x:c r="E27" s="62" t="n">
        <x:v>36.5</x:v>
      </x:c>
      <x:c r="F27" s="62" t="str">
        <x:v>EA</x:v>
      </x:c>
    </x:row>
    <x:row r="28" ht="15" customHeight="1">
      <x:c r="A28" s="62" t="str">
        <x:v>FG-004</x:v>
      </x:c>
      <x:c r="B28" s="62" t="str">
        <x:v>Prime Blue Product</x:v>
      </x:c>
      <x:c r="C28" s="62" t="str">
        <x:v>RM-021</x:v>
      </x:c>
      <x:c r="D28" s="62" t="str">
        <x:v>Resin 021</x:v>
      </x:c>
      <x:c r="E28" s="62" t="n">
        <x:v>34.73</x:v>
      </x:c>
      <x:c r="F28" s="62" t="str">
        <x:v>GAL</x:v>
      </x:c>
    </x:row>
    <x:row r="29" ht="15" customHeight="1">
      <x:c r="A29" s="62" t="str">
        <x:v>FG-004</x:v>
      </x:c>
      <x:c r="B29" s="62" t="str">
        <x:v>Prime Blue Product</x:v>
      </x:c>
      <x:c r="C29" s="62" t="str">
        <x:v>RM-016</x:v>
      </x:c>
      <x:c r="D29" s="62" t="str">
        <x:v>Resin 016</x:v>
      </x:c>
      <x:c r="E29" s="62" t="n">
        <x:v>47.78</x:v>
      </x:c>
      <x:c r="F29" s="62" t="str">
        <x:v>LB</x:v>
      </x:c>
    </x:row>
    <x:row r="30" ht="15" customHeight="1">
      <x:c r="A30" s="62" t="str">
        <x:v>FG-005</x:v>
      </x:c>
      <x:c r="B30" s="62" t="str">
        <x:v>Shield Black Product</x:v>
      </x:c>
      <x:c r="C30" s="62" t="str">
        <x:v>RM-043</x:v>
      </x:c>
      <x:c r="D30" s="62" t="str">
        <x:v>Filler 043</x:v>
      </x:c>
      <x:c r="E30" s="62" t="n">
        <x:v>76.49</x:v>
      </x:c>
      <x:c r="F30" s="62" t="str">
        <x:v>LB</x:v>
      </x:c>
    </x:row>
    <x:row r="31" ht="15" customHeight="1">
      <x:c r="A31" s="62" t="str">
        <x:v>FG-005</x:v>
      </x:c>
      <x:c r="B31" s="62" t="str">
        <x:v>Shield Black Product</x:v>
      </x:c>
      <x:c r="C31" s="62" t="str">
        <x:v>RM-026</x:v>
      </x:c>
      <x:c r="D31" s="62" t="str">
        <x:v>Resin 026</x:v>
      </x:c>
      <x:c r="E31" s="62" t="n">
        <x:v>77.77</x:v>
      </x:c>
      <x:c r="F31" s="62" t="str">
        <x:v>LB</x:v>
      </x:c>
    </x:row>
    <x:row r="32" ht="15" customHeight="1">
      <x:c r="A32" s="62" t="str">
        <x:v>FG-005</x:v>
      </x:c>
      <x:c r="B32" s="62" t="str">
        <x:v>Shield Black Product</x:v>
      </x:c>
      <x:c r="C32" s="62" t="str">
        <x:v>RM-012</x:v>
      </x:c>
      <x:c r="D32" s="62" t="str">
        <x:v>Pigment 012</x:v>
      </x:c>
      <x:c r="E32" s="62" t="n">
        <x:v>76.6</x:v>
      </x:c>
      <x:c r="F32" s="62" t="str">
        <x:v>GAL</x:v>
      </x:c>
    </x:row>
    <x:row r="33" ht="15" customHeight="1">
      <x:c r="A33" s="62" t="str">
        <x:v>FG-005</x:v>
      </x:c>
      <x:c r="B33" s="62" t="str">
        <x:v>Shield Black Product</x:v>
      </x:c>
      <x:c r="C33" s="62" t="str">
        <x:v>RM-063</x:v>
      </x:c>
      <x:c r="D33" s="62" t="str">
        <x:v>Filler 063</x:v>
      </x:c>
      <x:c r="E33" s="62" t="n">
        <x:v>75.47</x:v>
      </x:c>
      <x:c r="F33" s="62" t="str">
        <x:v>LB</x:v>
      </x:c>
    </x:row>
    <x:row r="34" ht="15" customHeight="1">
      <x:c r="A34" s="62" t="str">
        <x:v>FG-005</x:v>
      </x:c>
      <x:c r="B34" s="62" t="str">
        <x:v>Shield Black Product</x:v>
      </x:c>
      <x:c r="C34" s="62" t="str">
        <x:v>RM-009</x:v>
      </x:c>
      <x:c r="D34" s="62" t="str">
        <x:v>Additive 009</x:v>
      </x:c>
      <x:c r="E34" s="62" t="n">
        <x:v>38.28</x:v>
      </x:c>
      <x:c r="F34" s="62" t="str">
        <x:v>EA</x:v>
      </x:c>
    </x:row>
    <x:row r="35" ht="15" customHeight="1">
      <x:c r="A35" s="62" t="str">
        <x:v>FG-006</x:v>
      </x:c>
      <x:c r="B35" s="62" t="str">
        <x:v>Flex Red Product</x:v>
      </x:c>
      <x:c r="C35" s="62" t="str">
        <x:v>RM-044</x:v>
      </x:c>
      <x:c r="D35" s="62" t="str">
        <x:v>Additive 044</x:v>
      </x:c>
      <x:c r="E35" s="62" t="n">
        <x:v>26.77</x:v>
      </x:c>
      <x:c r="F35" s="62" t="str">
        <x:v>LB</x:v>
      </x:c>
    </x:row>
    <x:row r="36" ht="15" customHeight="1">
      <x:c r="A36" s="62" t="str">
        <x:v>FG-006</x:v>
      </x:c>
      <x:c r="B36" s="62" t="str">
        <x:v>Flex Red Product</x:v>
      </x:c>
      <x:c r="C36" s="62" t="str">
        <x:v>RM-027</x:v>
      </x:c>
      <x:c r="D36" s="62" t="str">
        <x:v>Pigment 027</x:v>
      </x:c>
      <x:c r="E36" s="62" t="n">
        <x:v>47.98</x:v>
      </x:c>
      <x:c r="F36" s="62" t="str">
        <x:v>GAL</x:v>
      </x:c>
    </x:row>
    <x:row r="37" ht="15" customHeight="1">
      <x:c r="A37" s="62" t="str">
        <x:v>FG-006</x:v>
      </x:c>
      <x:c r="B37" s="62" t="str">
        <x:v>Flex Red Product</x:v>
      </x:c>
      <x:c r="C37" s="62" t="str">
        <x:v>RM-030</x:v>
      </x:c>
      <x:c r="D37" s="62" t="str">
        <x:v>Packaging 030</x:v>
      </x:c>
      <x:c r="E37" s="62" t="n">
        <x:v>62.11</x:v>
      </x:c>
      <x:c r="F37" s="62" t="str">
        <x:v>EA</x:v>
      </x:c>
    </x:row>
    <x:row r="38" ht="15" customHeight="1">
      <x:c r="A38" s="62" t="str">
        <x:v>FG-006</x:v>
      </x:c>
      <x:c r="B38" s="62" t="str">
        <x:v>Flex Red Product</x:v>
      </x:c>
      <x:c r="C38" s="62" t="str">
        <x:v>RM-021</x:v>
      </x:c>
      <x:c r="D38" s="62" t="str">
        <x:v>Resin 021</x:v>
      </x:c>
      <x:c r="E38" s="62" t="n">
        <x:v>47.4</x:v>
      </x:c>
      <x:c r="F38" s="62" t="str">
        <x:v>GAL</x:v>
      </x:c>
    </x:row>
    <x:row r="39" ht="15" customHeight="1">
      <x:c r="A39" s="62" t="str">
        <x:v>FG-006</x:v>
      </x:c>
      <x:c r="B39" s="62" t="str">
        <x:v>Flex Red Product</x:v>
      </x:c>
      <x:c r="C39" s="62" t="str">
        <x:v>RM-036</x:v>
      </x:c>
      <x:c r="D39" s="62" t="str">
        <x:v>Resin 036</x:v>
      </x:c>
      <x:c r="E39" s="62" t="n">
        <x:v>70.07</x:v>
      </x:c>
      <x:c r="F39" s="62" t="str">
        <x:v>EA</x:v>
      </x:c>
    </x:row>
    <x:row r="40" ht="15" customHeight="1">
      <x:c r="A40" s="62" t="str">
        <x:v>FG-006</x:v>
      </x:c>
      <x:c r="B40" s="62" t="str">
        <x:v>Flex Red Product</x:v>
      </x:c>
      <x:c r="C40" s="62" t="str">
        <x:v>RM-059</x:v>
      </x:c>
      <x:c r="D40" s="62" t="str">
        <x:v>Additive 059</x:v>
      </x:c>
      <x:c r="E40" s="62" t="n">
        <x:v>20.16</x:v>
      </x:c>
      <x:c r="F40" s="62" t="str">
        <x:v>GAL</x:v>
      </x:c>
    </x:row>
    <x:row r="41" ht="15" customHeight="1">
      <x:c r="A41" s="62" t="str">
        <x:v>FG-007</x:v>
      </x:c>
      <x:c r="B41" s="62" t="str">
        <x:v>Guard White Product</x:v>
      </x:c>
      <x:c r="C41" s="62" t="str">
        <x:v>RM-052</x:v>
      </x:c>
      <x:c r="D41" s="62" t="str">
        <x:v>Pigment 052</x:v>
      </x:c>
      <x:c r="E41" s="62" t="n">
        <x:v>30.43</x:v>
      </x:c>
      <x:c r="F41" s="62" t="str">
        <x:v>EA</x:v>
      </x:c>
    </x:row>
    <x:row r="42" ht="15" customHeight="1">
      <x:c r="A42" s="62" t="str">
        <x:v>FG-007</x:v>
      </x:c>
      <x:c r="B42" s="62" t="str">
        <x:v>Guard White Product</x:v>
      </x:c>
      <x:c r="C42" s="62" t="str">
        <x:v>RM-006</x:v>
      </x:c>
      <x:c r="D42" s="62" t="str">
        <x:v>Resin 006</x:v>
      </x:c>
      <x:c r="E42" s="62" t="n">
        <x:v>63.64</x:v>
      </x:c>
      <x:c r="F42" s="62" t="str">
        <x:v>EA</x:v>
      </x:c>
    </x:row>
    <x:row r="43" ht="15" customHeight="1">
      <x:c r="A43" s="62" t="str">
        <x:v>FG-007</x:v>
      </x:c>
      <x:c r="B43" s="62" t="str">
        <x:v>Guard White Product</x:v>
      </x:c>
      <x:c r="C43" s="62" t="str">
        <x:v>RM-065</x:v>
      </x:c>
      <x:c r="D43" s="62" t="str">
        <x:v>Packaging 065</x:v>
      </x:c>
      <x:c r="E43" s="62" t="n">
        <x:v>117.99</x:v>
      </x:c>
      <x:c r="F43" s="62" t="str">
        <x:v>LB</x:v>
      </x:c>
    </x:row>
    <x:row r="44" ht="15" customHeight="1">
      <x:c r="A44" s="62" t="str">
        <x:v>FG-007</x:v>
      </x:c>
      <x:c r="B44" s="62" t="str">
        <x:v>Guard White Product</x:v>
      </x:c>
      <x:c r="C44" s="62" t="str">
        <x:v>RM-050</x:v>
      </x:c>
      <x:c r="D44" s="62" t="str">
        <x:v>Packaging 050</x:v>
      </x:c>
      <x:c r="E44" s="62" t="n">
        <x:v>79.38</x:v>
      </x:c>
      <x:c r="F44" s="62" t="str">
        <x:v>GAL</x:v>
      </x:c>
    </x:row>
    <x:row r="45" ht="15" customHeight="1">
      <x:c r="A45" s="62" t="str">
        <x:v>FG-007</x:v>
      </x:c>
      <x:c r="B45" s="62" t="str">
        <x:v>Guard White Product</x:v>
      </x:c>
      <x:c r="C45" s="62" t="str">
        <x:v>RM-041</x:v>
      </x:c>
      <x:c r="D45" s="62" t="str">
        <x:v>Resin 041</x:v>
      </x:c>
      <x:c r="E45" s="62" t="n">
        <x:v>41.77</x:v>
      </x:c>
      <x:c r="F45" s="62" t="str">
        <x:v>LB</x:v>
      </x:c>
    </x:row>
    <x:row r="46" ht="15" customHeight="1">
      <x:c r="A46" s="62" t="str">
        <x:v>FG-007</x:v>
      </x:c>
      <x:c r="B46" s="62" t="str">
        <x:v>Guard White Product</x:v>
      </x:c>
      <x:c r="C46" s="62" t="str">
        <x:v>RM-037</x:v>
      </x:c>
      <x:c r="D46" s="62" t="str">
        <x:v>Pigment 037</x:v>
      </x:c>
      <x:c r="E46" s="62" t="n">
        <x:v>67.58</x:v>
      </x:c>
      <x:c r="F46" s="62" t="str">
        <x:v>GAL</x:v>
      </x:c>
    </x:row>
    <x:row r="47" ht="15" customHeight="1">
      <x:c r="A47" s="62" t="str">
        <x:v>FG-007</x:v>
      </x:c>
      <x:c r="B47" s="62" t="str">
        <x:v>Guard White Product</x:v>
      </x:c>
      <x:c r="C47" s="62" t="str">
        <x:v>RM-007</x:v>
      </x:c>
      <x:c r="D47" s="62" t="str">
        <x:v>Pigment 007</x:v>
      </x:c>
      <x:c r="E47" s="62" t="n">
        <x:v>37.48</x:v>
      </x:c>
      <x:c r="F47" s="62" t="str">
        <x:v>LB</x:v>
      </x:c>
    </x:row>
    <x:row r="48" ht="15" customHeight="1">
      <x:c r="A48" s="62" t="str">
        <x:v>FG-007</x:v>
      </x:c>
      <x:c r="B48" s="62" t="str">
        <x:v>Guard White Product</x:v>
      </x:c>
      <x:c r="C48" s="62" t="str">
        <x:v>RM-063</x:v>
      </x:c>
      <x:c r="D48" s="62" t="str">
        <x:v>Filler 063</x:v>
      </x:c>
      <x:c r="E48" s="62" t="n">
        <x:v>104.71</x:v>
      </x:c>
      <x:c r="F48" s="62" t="str">
        <x:v>LB</x:v>
      </x:c>
    </x:row>
    <x:row r="49" ht="15" customHeight="1">
      <x:c r="A49" s="62" t="str">
        <x:v>FG-008</x:v>
      </x:c>
      <x:c r="B49" s="62" t="str">
        <x:v>Prime Gray Product</x:v>
      </x:c>
      <x:c r="C49" s="62" t="str">
        <x:v>RM-001</x:v>
      </x:c>
      <x:c r="D49" s="62" t="str">
        <x:v>Resin 001</x:v>
      </x:c>
      <x:c r="E49" s="62" t="n">
        <x:v>60.72</x:v>
      </x:c>
      <x:c r="F49" s="62" t="str">
        <x:v>GAL</x:v>
      </x:c>
    </x:row>
    <x:row r="50" ht="15" customHeight="1">
      <x:c r="A50" s="62" t="str">
        <x:v>FG-008</x:v>
      </x:c>
      <x:c r="B50" s="62" t="str">
        <x:v>Prime Gray Product</x:v>
      </x:c>
      <x:c r="C50" s="62" t="str">
        <x:v>RM-058</x:v>
      </x:c>
      <x:c r="D50" s="62" t="str">
        <x:v>Filler 058</x:v>
      </x:c>
      <x:c r="E50" s="62" t="n">
        <x:v>23.07</x:v>
      </x:c>
      <x:c r="F50" s="62" t="str">
        <x:v>LB</x:v>
      </x:c>
    </x:row>
    <x:row r="51" ht="15" customHeight="1">
      <x:c r="A51" s="62" t="str">
        <x:v>FG-008</x:v>
      </x:c>
      <x:c r="B51" s="62" t="str">
        <x:v>Prime Gray Product</x:v>
      </x:c>
      <x:c r="C51" s="62" t="str">
        <x:v>RM-064</x:v>
      </x:c>
      <x:c r="D51" s="62" t="str">
        <x:v>Additive 064</x:v>
      </x:c>
      <x:c r="E51" s="62" t="n">
        <x:v>22.26</x:v>
      </x:c>
      <x:c r="F51" s="62" t="str">
        <x:v>GAL</x:v>
      </x:c>
    </x:row>
    <x:row r="52" ht="15" customHeight="1">
      <x:c r="A52" s="62" t="str">
        <x:v>FG-008</x:v>
      </x:c>
      <x:c r="B52" s="62" t="str">
        <x:v>Prime Gray Product</x:v>
      </x:c>
      <x:c r="C52" s="62" t="str">
        <x:v>RM-019</x:v>
      </x:c>
      <x:c r="D52" s="62" t="str">
        <x:v>Additive 019</x:v>
      </x:c>
      <x:c r="E52" s="62" t="n">
        <x:v>66.18</x:v>
      </x:c>
      <x:c r="F52" s="62" t="str">
        <x:v>EA</x:v>
      </x:c>
    </x:row>
    <x:row r="53" ht="15" customHeight="1">
      <x:c r="A53" s="62" t="str">
        <x:v>FG-008</x:v>
      </x:c>
      <x:c r="B53" s="62" t="str">
        <x:v>Prime Gray Product</x:v>
      </x:c>
      <x:c r="C53" s="62" t="str">
        <x:v>RM-057</x:v>
      </x:c>
      <x:c r="D53" s="62" t="str">
        <x:v>Pigment 057</x:v>
      </x:c>
      <x:c r="E53" s="62" t="n">
        <x:v>41.54</x:v>
      </x:c>
      <x:c r="F53" s="62" t="str">
        <x:v>EA</x:v>
      </x:c>
    </x:row>
    <x:row r="54" ht="15" customHeight="1">
      <x:c r="A54" s="62" t="str">
        <x:v>FG-009</x:v>
      </x:c>
      <x:c r="B54" s="62" t="str">
        <x:v>Shield Tan Product</x:v>
      </x:c>
      <x:c r="C54" s="62" t="str">
        <x:v>RM-032</x:v>
      </x:c>
      <x:c r="D54" s="62" t="str">
        <x:v>Pigment 032</x:v>
      </x:c>
      <x:c r="E54" s="62" t="n">
        <x:v>112.23</x:v>
      </x:c>
      <x:c r="F54" s="62" t="str">
        <x:v>EA</x:v>
      </x:c>
    </x:row>
    <x:row r="55" ht="15" customHeight="1">
      <x:c r="A55" s="62" t="str">
        <x:v>FG-009</x:v>
      </x:c>
      <x:c r="B55" s="62" t="str">
        <x:v>Shield Tan Product</x:v>
      </x:c>
      <x:c r="C55" s="62" t="str">
        <x:v>RM-050</x:v>
      </x:c>
      <x:c r="D55" s="62" t="str">
        <x:v>Packaging 050</x:v>
      </x:c>
      <x:c r="E55" s="62" t="n">
        <x:v>108.31</x:v>
      </x:c>
      <x:c r="F55" s="62" t="str">
        <x:v>GAL</x:v>
      </x:c>
    </x:row>
    <x:row r="56" ht="15" customHeight="1">
      <x:c r="A56" s="62" t="str">
        <x:v>FG-009</x:v>
      </x:c>
      <x:c r="B56" s="62" t="str">
        <x:v>Shield Tan Product</x:v>
      </x:c>
      <x:c r="C56" s="62" t="str">
        <x:v>RM-021</x:v>
      </x:c>
      <x:c r="D56" s="62" t="str">
        <x:v>Resin 021</x:v>
      </x:c>
      <x:c r="E56" s="62" t="n">
        <x:v>54.71</x:v>
      </x:c>
      <x:c r="F56" s="62" t="str">
        <x:v>GAL</x:v>
      </x:c>
    </x:row>
    <x:row r="57" ht="15" customHeight="1">
      <x:c r="A57" s="62" t="str">
        <x:v>FG-009</x:v>
      </x:c>
      <x:c r="B57" s="62" t="str">
        <x:v>Shield Tan Product</x:v>
      </x:c>
      <x:c r="C57" s="62" t="str">
        <x:v>RM-057</x:v>
      </x:c>
      <x:c r="D57" s="62" t="str">
        <x:v>Pigment 057</x:v>
      </x:c>
      <x:c r="E57" s="62" t="n">
        <x:v>15.63</x:v>
      </x:c>
      <x:c r="F57" s="62" t="str">
        <x:v>EA</x:v>
      </x:c>
    </x:row>
    <x:row r="58" ht="15" customHeight="1">
      <x:c r="A58" s="62" t="str">
        <x:v>FG-009</x:v>
      </x:c>
      <x:c r="B58" s="62" t="str">
        <x:v>Shield Tan Product</x:v>
      </x:c>
      <x:c r="C58" s="62" t="str">
        <x:v>RM-023</x:v>
      </x:c>
      <x:c r="D58" s="62" t="str">
        <x:v>Filler 023</x:v>
      </x:c>
      <x:c r="E58" s="62" t="n">
        <x:v>49.77</x:v>
      </x:c>
      <x:c r="F58" s="62" t="str">
        <x:v>EA</x:v>
      </x:c>
    </x:row>
    <x:row r="59" ht="15" customHeight="1">
      <x:c r="A59" s="62" t="str">
        <x:v>FG-010</x:v>
      </x:c>
      <x:c r="B59" s="62" t="str">
        <x:v>Flex Blue Product</x:v>
      </x:c>
      <x:c r="C59" s="62" t="str">
        <x:v>RM-011</x:v>
      </x:c>
      <x:c r="D59" s="62" t="str">
        <x:v>Resin 011</x:v>
      </x:c>
      <x:c r="E59" s="62" t="n">
        <x:v>64.9</x:v>
      </x:c>
      <x:c r="F59" s="62" t="str">
        <x:v>LB</x:v>
      </x:c>
    </x:row>
    <x:row r="60" ht="15" customHeight="1">
      <x:c r="A60" s="62" t="str">
        <x:v>FG-010</x:v>
      </x:c>
      <x:c r="B60" s="62" t="str">
        <x:v>Flex Blue Product</x:v>
      </x:c>
      <x:c r="C60" s="62" t="str">
        <x:v>RM-055</x:v>
      </x:c>
      <x:c r="D60" s="62" t="str">
        <x:v>Packaging 055</x:v>
      </x:c>
      <x:c r="E60" s="62" t="n">
        <x:v>29.99</x:v>
      </x:c>
      <x:c r="F60" s="62" t="str">
        <x:v>GAL</x:v>
      </x:c>
    </x:row>
    <x:row r="61" ht="15" customHeight="1">
      <x:c r="A61" s="62" t="str">
        <x:v>FG-010</x:v>
      </x:c>
      <x:c r="B61" s="62" t="str">
        <x:v>Flex Blue Product</x:v>
      </x:c>
      <x:c r="C61" s="62" t="str">
        <x:v>RM-063</x:v>
      </x:c>
      <x:c r="D61" s="62" t="str">
        <x:v>Filler 063</x:v>
      </x:c>
      <x:c r="E61" s="62" t="n">
        <x:v>72.93</x:v>
      </x:c>
      <x:c r="F61" s="62" t="str">
        <x:v>LB</x:v>
      </x:c>
    </x:row>
    <x:row r="62" ht="15" customHeight="1">
      <x:c r="A62" s="62" t="str">
        <x:v>FG-010</x:v>
      </x:c>
      <x:c r="B62" s="62" t="str">
        <x:v>Flex Blue Product</x:v>
      </x:c>
      <x:c r="C62" s="62" t="str">
        <x:v>RM-009</x:v>
      </x:c>
      <x:c r="D62" s="62" t="str">
        <x:v>Additive 009</x:v>
      </x:c>
      <x:c r="E62" s="62" t="n">
        <x:v>81.38</x:v>
      </x:c>
      <x:c r="F62" s="62" t="str">
        <x:v>EA</x:v>
      </x:c>
    </x:row>
    <x:row r="63" ht="15" customHeight="1">
      <x:c r="A63" s="62" t="str">
        <x:v>FG-010</x:v>
      </x:c>
      <x:c r="B63" s="62" t="str">
        <x:v>Flex Blue Product</x:v>
      </x:c>
      <x:c r="C63" s="62" t="str">
        <x:v>RM-053</x:v>
      </x:c>
      <x:c r="D63" s="62" t="str">
        <x:v>Filler 053</x:v>
      </x:c>
      <x:c r="E63" s="62" t="n">
        <x:v>62.69</x:v>
      </x:c>
      <x:c r="F63" s="62" t="str">
        <x:v>EA</x:v>
      </x:c>
    </x:row>
    <x:row r="64" ht="15" customHeight="1">
      <x:c r="A64" s="62" t="str">
        <x:v>FG-010</x:v>
      </x:c>
      <x:c r="B64" s="62" t="str">
        <x:v>Flex Blue Product</x:v>
      </x:c>
      <x:c r="C64" s="62" t="str">
        <x:v>RM-042</x:v>
      </x:c>
      <x:c r="D64" s="62" t="str">
        <x:v>Pigment 042</x:v>
      </x:c>
      <x:c r="E64" s="62" t="n">
        <x:v>148.6</x:v>
      </x:c>
      <x:c r="F64" s="62" t="str">
        <x:v>LB</x:v>
      </x:c>
    </x:row>
    <x:row r="65" ht="15" customHeight="1">
      <x:c r="A65" s="62" t="str">
        <x:v>FG-010</x:v>
      </x:c>
      <x:c r="B65" s="62" t="str">
        <x:v>Flex Blue Product</x:v>
      </x:c>
      <x:c r="C65" s="62" t="str">
        <x:v>RM-059</x:v>
      </x:c>
      <x:c r="D65" s="62" t="str">
        <x:v>Additive 059</x:v>
      </x:c>
      <x:c r="E65" s="62" t="n">
        <x:v>109.43</x:v>
      </x:c>
      <x:c r="F65" s="62" t="str">
        <x:v>GAL</x:v>
      </x:c>
    </x:row>
    <x:row r="66" ht="15" customHeight="1">
      <x:c r="A66" s="62" t="str">
        <x:v>FG-010</x:v>
      </x:c>
      <x:c r="B66" s="62" t="str">
        <x:v>Flex Blue Product</x:v>
      </x:c>
      <x:c r="C66" s="62" t="str">
        <x:v>RM-039</x:v>
      </x:c>
      <x:c r="D66" s="62" t="str">
        <x:v>Additive 039</x:v>
      </x:c>
      <x:c r="E66" s="62" t="n">
        <x:v>103.36</x:v>
      </x:c>
      <x:c r="F66" s="62" t="str">
        <x:v>LB</x:v>
      </x:c>
    </x:row>
    <x:row r="67" ht="15" customHeight="1">
      <x:c r="A67" s="62" t="str">
        <x:v>FG-011</x:v>
      </x:c>
      <x:c r="B67" s="62" t="str">
        <x:v>Guard Black Product</x:v>
      </x:c>
      <x:c r="C67" s="62" t="str">
        <x:v>RM-005</x:v>
      </x:c>
      <x:c r="D67" s="62" t="str">
        <x:v>Packaging 005</x:v>
      </x:c>
      <x:c r="E67" s="62" t="n">
        <x:v>66.99</x:v>
      </x:c>
      <x:c r="F67" s="62" t="str">
        <x:v>EA</x:v>
      </x:c>
    </x:row>
    <x:row r="68" ht="15" customHeight="1">
      <x:c r="A68" s="62" t="str">
        <x:v>FG-011</x:v>
      </x:c>
      <x:c r="B68" s="62" t="str">
        <x:v>Guard Black Product</x:v>
      </x:c>
      <x:c r="C68" s="62" t="str">
        <x:v>RM-032</x:v>
      </x:c>
      <x:c r="D68" s="62" t="str">
        <x:v>Pigment 032</x:v>
      </x:c>
      <x:c r="E68" s="62" t="n">
        <x:v>119.29</x:v>
      </x:c>
      <x:c r="F68" s="62" t="str">
        <x:v>EA</x:v>
      </x:c>
    </x:row>
    <x:row r="69" ht="15" customHeight="1">
      <x:c r="A69" s="62" t="str">
        <x:v>FG-011</x:v>
      </x:c>
      <x:c r="B69" s="62" t="str">
        <x:v>Guard Black Product</x:v>
      </x:c>
      <x:c r="C69" s="62" t="str">
        <x:v>RM-019</x:v>
      </x:c>
      <x:c r="D69" s="62" t="str">
        <x:v>Additive 019</x:v>
      </x:c>
      <x:c r="E69" s="62" t="n">
        <x:v>13.26</x:v>
      </x:c>
      <x:c r="F69" s="62" t="str">
        <x:v>EA</x:v>
      </x:c>
    </x:row>
    <x:row r="70" ht="15" customHeight="1">
      <x:c r="A70" s="62" t="str">
        <x:v>FG-011</x:v>
      </x:c>
      <x:c r="B70" s="62" t="str">
        <x:v>Guard Black Product</x:v>
      </x:c>
      <x:c r="C70" s="62" t="str">
        <x:v>RM-010</x:v>
      </x:c>
      <x:c r="D70" s="62" t="str">
        <x:v>Packaging 010</x:v>
      </x:c>
      <x:c r="E70" s="62" t="n">
        <x:v>104.73</x:v>
      </x:c>
      <x:c r="F70" s="62" t="str">
        <x:v>LB</x:v>
      </x:c>
    </x:row>
    <x:row r="71" ht="15" customHeight="1">
      <x:c r="A71" s="62" t="str">
        <x:v>FG-011</x:v>
      </x:c>
      <x:c r="B71" s="62" t="str">
        <x:v>Guard Black Product</x:v>
      </x:c>
      <x:c r="C71" s="62" t="str">
        <x:v>RM-031</x:v>
      </x:c>
      <x:c r="D71" s="62" t="str">
        <x:v>Resin 031</x:v>
      </x:c>
      <x:c r="E71" s="62" t="n">
        <x:v>21.51</x:v>
      </x:c>
      <x:c r="F71" s="62" t="str">
        <x:v>EA</x:v>
      </x:c>
    </x:row>
    <x:row r="72" ht="15" customHeight="1">
      <x:c r="A72" s="62" t="str">
        <x:v>FG-011</x:v>
      </x:c>
      <x:c r="B72" s="62" t="str">
        <x:v>Guard Black Product</x:v>
      </x:c>
      <x:c r="C72" s="62" t="str">
        <x:v>RM-008</x:v>
      </x:c>
      <x:c r="D72" s="62" t="str">
        <x:v>Filler 008</x:v>
      </x:c>
      <x:c r="E72" s="62" t="n">
        <x:v>39.55</x:v>
      </x:c>
      <x:c r="F72" s="62" t="str">
        <x:v>GAL</x:v>
      </x:c>
    </x:row>
    <x:row r="73" ht="15" customHeight="1">
      <x:c r="A73" s="62" t="str">
        <x:v>FG-011</x:v>
      </x:c>
      <x:c r="B73" s="62" t="str">
        <x:v>Guard Black Product</x:v>
      </x:c>
      <x:c r="C73" s="62" t="str">
        <x:v>RM-058</x:v>
      </x:c>
      <x:c r="D73" s="62" t="str">
        <x:v>Filler 058</x:v>
      </x:c>
      <x:c r="E73" s="62" t="n">
        <x:v>26.63</x:v>
      </x:c>
      <x:c r="F73" s="62" t="str">
        <x:v>LB</x:v>
      </x:c>
    </x:row>
    <x:row r="74" ht="15" customHeight="1">
      <x:c r="A74" s="62" t="str">
        <x:v>FG-011</x:v>
      </x:c>
      <x:c r="B74" s="62" t="str">
        <x:v>Guard Black Product</x:v>
      </x:c>
      <x:c r="C74" s="62" t="str">
        <x:v>RM-036</x:v>
      </x:c>
      <x:c r="D74" s="62" t="str">
        <x:v>Resin 036</x:v>
      </x:c>
      <x:c r="E74" s="62" t="n">
        <x:v>52.72</x:v>
      </x:c>
      <x:c r="F74" s="62" t="str">
        <x:v>EA</x:v>
      </x:c>
    </x:row>
    <x:row r="75" ht="15" customHeight="1">
      <x:c r="A75" s="62" t="str">
        <x:v>FG-012</x:v>
      </x:c>
      <x:c r="B75" s="62" t="str">
        <x:v>Prime Red Product</x:v>
      </x:c>
      <x:c r="C75" s="62" t="str">
        <x:v>RM-027</x:v>
      </x:c>
      <x:c r="D75" s="62" t="str">
        <x:v>Pigment 027</x:v>
      </x:c>
      <x:c r="E75" s="62" t="n">
        <x:v>82.49</x:v>
      </x:c>
      <x:c r="F75" s="62" t="str">
        <x:v>GAL</x:v>
      </x:c>
    </x:row>
    <x:row r="76" ht="15" customHeight="1">
      <x:c r="A76" s="62" t="str">
        <x:v>FG-012</x:v>
      </x:c>
      <x:c r="B76" s="62" t="str">
        <x:v>Prime Red Product</x:v>
      </x:c>
      <x:c r="C76" s="62" t="str">
        <x:v>RM-038</x:v>
      </x:c>
      <x:c r="D76" s="62" t="str">
        <x:v>Filler 038</x:v>
      </x:c>
      <x:c r="E76" s="62" t="n">
        <x:v>76.43</x:v>
      </x:c>
      <x:c r="F76" s="62" t="str">
        <x:v>LB</x:v>
      </x:c>
    </x:row>
    <x:row r="77" ht="15" customHeight="1">
      <x:c r="A77" s="62" t="str">
        <x:v>FG-012</x:v>
      </x:c>
      <x:c r="B77" s="62" t="str">
        <x:v>Prime Red Product</x:v>
      </x:c>
      <x:c r="C77" s="62" t="str">
        <x:v>RM-009</x:v>
      </x:c>
      <x:c r="D77" s="62" t="str">
        <x:v>Additive 009</x:v>
      </x:c>
      <x:c r="E77" s="62" t="n">
        <x:v>142.56</x:v>
      </x:c>
      <x:c r="F77" s="62" t="str">
        <x:v>EA</x:v>
      </x:c>
    </x:row>
    <x:row r="78" ht="15" customHeight="1">
      <x:c r="A78" s="62" t="str">
        <x:v>FG-012</x:v>
      </x:c>
      <x:c r="B78" s="62" t="str">
        <x:v>Prime Red Product</x:v>
      </x:c>
      <x:c r="C78" s="62" t="str">
        <x:v>RM-057</x:v>
      </x:c>
      <x:c r="D78" s="62" t="str">
        <x:v>Pigment 057</x:v>
      </x:c>
      <x:c r="E78" s="62" t="n">
        <x:v>37.88</x:v>
      </x:c>
      <x:c r="F78" s="62" t="str">
        <x:v>EA</x:v>
      </x:c>
    </x:row>
    <x:row r="79" ht="15" customHeight="1">
      <x:c r="A79" s="62" t="str">
        <x:v>FG-012</x:v>
      </x:c>
      <x:c r="B79" s="62" t="str">
        <x:v>Prime Red Product</x:v>
      </x:c>
      <x:c r="C79" s="62" t="str">
        <x:v>RM-024</x:v>
      </x:c>
      <x:c r="D79" s="62" t="str">
        <x:v>Additive 024</x:v>
      </x:c>
      <x:c r="E79" s="62" t="n">
        <x:v>20.92</x:v>
      </x:c>
      <x:c r="F79" s="62" t="str">
        <x:v>GAL</x:v>
      </x:c>
    </x:row>
    <x:row r="80" ht="15" customHeight="1">
      <x:c r="A80" s="62" t="str">
        <x:v>FG-012</x:v>
      </x:c>
      <x:c r="B80" s="62" t="str">
        <x:v>Prime Red Product</x:v>
      </x:c>
      <x:c r="C80" s="62" t="str">
        <x:v>RM-039</x:v>
      </x:c>
      <x:c r="D80" s="62" t="str">
        <x:v>Additive 039</x:v>
      </x:c>
      <x:c r="E80" s="62" t="n">
        <x:v>125.26</x:v>
      </x:c>
      <x:c r="F80" s="62" t="str">
        <x:v>LB</x:v>
      </x:c>
    </x:row>
    <x:row r="81" ht="15" customHeight="1">
      <x:c r="A81" s="62" t="str">
        <x:v>FG-012</x:v>
      </x:c>
      <x:c r="B81" s="62" t="str">
        <x:v>Prime Red Product</x:v>
      </x:c>
      <x:c r="C81" s="62" t="str">
        <x:v>RM-037</x:v>
      </x:c>
      <x:c r="D81" s="62" t="str">
        <x:v>Pigment 037</x:v>
      </x:c>
      <x:c r="E81" s="62" t="n">
        <x:v>140.04</x:v>
      </x:c>
      <x:c r="F81" s="62" t="str">
        <x:v>GAL</x:v>
      </x:c>
    </x:row>
    <x:row r="82" ht="15" customHeight="1">
      <x:c r="A82" s="62" t="str">
        <x:v>FG-012</x:v>
      </x:c>
      <x:c r="B82" s="62" t="str">
        <x:v>Prime Red Product</x:v>
      </x:c>
      <x:c r="C82" s="62" t="str">
        <x:v>RM-016</x:v>
      </x:c>
      <x:c r="D82" s="62" t="str">
        <x:v>Resin 016</x:v>
      </x:c>
      <x:c r="E82" s="62" t="n">
        <x:v>21.81</x:v>
      </x:c>
      <x:c r="F82" s="62" t="str">
        <x:v>LB</x:v>
      </x:c>
    </x:row>
    <x:row r="83" ht="15" customHeight="1">
      <x:c r="A83" s="62" t="str">
        <x:v>FG-013</x:v>
      </x:c>
      <x:c r="B83" s="62" t="str">
        <x:v>Shield White Product</x:v>
      </x:c>
      <x:c r="C83" s="62" t="str">
        <x:v>RM-032</x:v>
      </x:c>
      <x:c r="D83" s="62" t="str">
        <x:v>Pigment 032</x:v>
      </x:c>
      <x:c r="E83" s="62" t="n">
        <x:v>11.74</x:v>
      </x:c>
      <x:c r="F83" s="62" t="str">
        <x:v>EA</x:v>
      </x:c>
    </x:row>
    <x:row r="84" ht="15" customHeight="1">
      <x:c r="A84" s="62" t="str">
        <x:v>FG-013</x:v>
      </x:c>
      <x:c r="B84" s="62" t="str">
        <x:v>Shield White Product</x:v>
      </x:c>
      <x:c r="C84" s="62" t="str">
        <x:v>RM-058</x:v>
      </x:c>
      <x:c r="D84" s="62" t="str">
        <x:v>Filler 058</x:v>
      </x:c>
      <x:c r="E84" s="62" t="n">
        <x:v>57.05</x:v>
      </x:c>
      <x:c r="F84" s="62" t="str">
        <x:v>LB</x:v>
      </x:c>
    </x:row>
    <x:row r="85" ht="15" customHeight="1">
      <x:c r="A85" s="62" t="str">
        <x:v>FG-013</x:v>
      </x:c>
      <x:c r="B85" s="62" t="str">
        <x:v>Shield White Product</x:v>
      </x:c>
      <x:c r="C85" s="62" t="str">
        <x:v>RM-052</x:v>
      </x:c>
      <x:c r="D85" s="62" t="str">
        <x:v>Pigment 052</x:v>
      </x:c>
      <x:c r="E85" s="62" t="n">
        <x:v>52.29</x:v>
      </x:c>
      <x:c r="F85" s="62" t="str">
        <x:v>EA</x:v>
      </x:c>
    </x:row>
    <x:row r="86" ht="15" customHeight="1">
      <x:c r="A86" s="62" t="str">
        <x:v>FG-013</x:v>
      </x:c>
      <x:c r="B86" s="62" t="str">
        <x:v>Shield White Product</x:v>
      </x:c>
      <x:c r="C86" s="62" t="str">
        <x:v>RM-034</x:v>
      </x:c>
      <x:c r="D86" s="62" t="str">
        <x:v>Additive 034</x:v>
      </x:c>
      <x:c r="E86" s="62" t="n">
        <x:v>81.11</x:v>
      </x:c>
      <x:c r="F86" s="62" t="str">
        <x:v>EA</x:v>
      </x:c>
    </x:row>
    <x:row r="87" ht="15" customHeight="1">
      <x:c r="A87" s="62" t="str">
        <x:v>FG-013</x:v>
      </x:c>
      <x:c r="B87" s="62" t="str">
        <x:v>Shield White Product</x:v>
      </x:c>
      <x:c r="C87" s="62" t="str">
        <x:v>RM-020</x:v>
      </x:c>
      <x:c r="D87" s="62" t="str">
        <x:v>Packaging 020</x:v>
      </x:c>
      <x:c r="E87" s="62" t="n">
        <x:v>43.07</x:v>
      </x:c>
      <x:c r="F87" s="62" t="str">
        <x:v>LB</x:v>
      </x:c>
    </x:row>
    <x:row r="88" ht="15" customHeight="1">
      <x:c r="A88" s="62" t="str">
        <x:v>FG-013</x:v>
      </x:c>
      <x:c r="B88" s="62" t="str">
        <x:v>Shield White Product</x:v>
      </x:c>
      <x:c r="C88" s="62" t="str">
        <x:v>RM-025</x:v>
      </x:c>
      <x:c r="D88" s="62" t="str">
        <x:v>Packaging 025</x:v>
      </x:c>
      <x:c r="E88" s="62" t="n">
        <x:v>50.79</x:v>
      </x:c>
      <x:c r="F88" s="62" t="str">
        <x:v>EA</x:v>
      </x:c>
    </x:row>
    <x:row r="89" ht="15" customHeight="1">
      <x:c r="A89" s="62" t="str">
        <x:v>FG-014</x:v>
      </x:c>
      <x:c r="B89" s="62" t="str">
        <x:v>Flex Gray Product</x:v>
      </x:c>
      <x:c r="C89" s="62" t="str">
        <x:v>RM-058</x:v>
      </x:c>
      <x:c r="D89" s="62" t="str">
        <x:v>Filler 058</x:v>
      </x:c>
      <x:c r="E89" s="62" t="n">
        <x:v>60.28</x:v>
      </x:c>
      <x:c r="F89" s="62" t="str">
        <x:v>LB</x:v>
      </x:c>
    </x:row>
    <x:row r="90" ht="15" customHeight="1">
      <x:c r="A90" s="62" t="str">
        <x:v>FG-014</x:v>
      </x:c>
      <x:c r="B90" s="62" t="str">
        <x:v>Flex Gray Product</x:v>
      </x:c>
      <x:c r="C90" s="62" t="str">
        <x:v>RM-018</x:v>
      </x:c>
      <x:c r="D90" s="62" t="str">
        <x:v>Filler 018</x:v>
      </x:c>
      <x:c r="E90" s="62" t="n">
        <x:v>24.18</x:v>
      </x:c>
      <x:c r="F90" s="62" t="str">
        <x:v>GAL</x:v>
      </x:c>
    </x:row>
    <x:row r="91" ht="15" customHeight="1">
      <x:c r="A91" s="62" t="str">
        <x:v>FG-014</x:v>
      </x:c>
      <x:c r="B91" s="62" t="str">
        <x:v>Flex Gray Product</x:v>
      </x:c>
      <x:c r="C91" s="62" t="str">
        <x:v>RM-031</x:v>
      </x:c>
      <x:c r="D91" s="62" t="str">
        <x:v>Resin 031</x:v>
      </x:c>
      <x:c r="E91" s="62" t="n">
        <x:v>71.8</x:v>
      </x:c>
      <x:c r="F91" s="62" t="str">
        <x:v>EA</x:v>
      </x:c>
    </x:row>
    <x:row r="92" ht="15" customHeight="1">
      <x:c r="A92" s="62" t="str">
        <x:v>FG-014</x:v>
      </x:c>
      <x:c r="B92" s="62" t="str">
        <x:v>Flex Gray Product</x:v>
      </x:c>
      <x:c r="C92" s="62" t="str">
        <x:v>RM-063</x:v>
      </x:c>
      <x:c r="D92" s="62" t="str">
        <x:v>Filler 063</x:v>
      </x:c>
      <x:c r="E92" s="62" t="n">
        <x:v>113.92</x:v>
      </x:c>
      <x:c r="F92" s="62" t="str">
        <x:v>LB</x:v>
      </x:c>
    </x:row>
    <x:row r="93" ht="15" customHeight="1">
      <x:c r="A93" s="62" t="str">
        <x:v>FG-014</x:v>
      </x:c>
      <x:c r="B93" s="62" t="str">
        <x:v>Flex Gray Product</x:v>
      </x:c>
      <x:c r="C93" s="62" t="str">
        <x:v>RM-070</x:v>
      </x:c>
      <x:c r="D93" s="62" t="str">
        <x:v>Packaging 070</x:v>
      </x:c>
      <x:c r="E93" s="62" t="n">
        <x:v>96.1</x:v>
      </x:c>
      <x:c r="F93" s="62" t="str">
        <x:v>EA</x:v>
      </x:c>
    </x:row>
    <x:row r="94" ht="15" customHeight="1">
      <x:c r="A94" s="62" t="str">
        <x:v>FG-014</x:v>
      </x:c>
      <x:c r="B94" s="62" t="str">
        <x:v>Flex Gray Product</x:v>
      </x:c>
      <x:c r="C94" s="62" t="str">
        <x:v>RM-053</x:v>
      </x:c>
      <x:c r="D94" s="62" t="str">
        <x:v>Filler 053</x:v>
      </x:c>
      <x:c r="E94" s="62" t="n">
        <x:v>98.29</x:v>
      </x:c>
      <x:c r="F94" s="62" t="str">
        <x:v>EA</x:v>
      </x:c>
    </x:row>
    <x:row r="95" ht="15" customHeight="1">
      <x:c r="A95" s="62" t="str">
        <x:v>FG-014</x:v>
      </x:c>
      <x:c r="B95" s="62" t="str">
        <x:v>Flex Gray Product</x:v>
      </x:c>
      <x:c r="C95" s="62" t="str">
        <x:v>RM-005</x:v>
      </x:c>
      <x:c r="D95" s="62" t="str">
        <x:v>Packaging 005</x:v>
      </x:c>
      <x:c r="E95" s="62" t="n">
        <x:v>58.21</x:v>
      </x:c>
      <x:c r="F95" s="62" t="str">
        <x:v>EA</x:v>
      </x:c>
    </x:row>
    <x:row r="96" ht="15" customHeight="1">
      <x:c r="A96" s="62" t="str">
        <x:v>FG-014</x:v>
      </x:c>
      <x:c r="B96" s="62" t="str">
        <x:v>Flex Gray Product</x:v>
      </x:c>
      <x:c r="C96" s="62" t="str">
        <x:v>RM-069</x:v>
      </x:c>
      <x:c r="D96" s="62" t="str">
        <x:v>Additive 069</x:v>
      </x:c>
      <x:c r="E96" s="62" t="n">
        <x:v>37.77</x:v>
      </x:c>
      <x:c r="F96" s="62" t="str">
        <x:v>GAL</x:v>
      </x:c>
    </x:row>
    <x:row r="97" ht="15" customHeight="1">
      <x:c r="A97" s="62" t="str">
        <x:v>FG-015</x:v>
      </x:c>
      <x:c r="B97" s="62" t="str">
        <x:v>Guard Tan Product</x:v>
      </x:c>
      <x:c r="C97" s="62" t="str">
        <x:v>RM-039</x:v>
      </x:c>
      <x:c r="D97" s="62" t="str">
        <x:v>Additive 039</x:v>
      </x:c>
      <x:c r="E97" s="62" t="n">
        <x:v>47.84</x:v>
      </x:c>
      <x:c r="F97" s="62" t="str">
        <x:v>LB</x:v>
      </x:c>
    </x:row>
    <x:row r="98" ht="15" customHeight="1">
      <x:c r="A98" s="62" t="str">
        <x:v>FG-015</x:v>
      </x:c>
      <x:c r="B98" s="62" t="str">
        <x:v>Guard Tan Product</x:v>
      </x:c>
      <x:c r="C98" s="62" t="str">
        <x:v>RM-033</x:v>
      </x:c>
      <x:c r="D98" s="62" t="str">
        <x:v>Filler 033</x:v>
      </x:c>
      <x:c r="E98" s="62" t="n">
        <x:v>45.14</x:v>
      </x:c>
      <x:c r="F98" s="62" t="str">
        <x:v>GAL</x:v>
      </x:c>
    </x:row>
    <x:row r="99" ht="15" customHeight="1">
      <x:c r="A99" s="62" t="str">
        <x:v>FG-015</x:v>
      </x:c>
      <x:c r="B99" s="62" t="str">
        <x:v>Guard Tan Product</x:v>
      </x:c>
      <x:c r="C99" s="62" t="str">
        <x:v>RM-067</x:v>
      </x:c>
      <x:c r="D99" s="62" t="str">
        <x:v>Pigment 067</x:v>
      </x:c>
      <x:c r="E99" s="62" t="n">
        <x:v>46.54</x:v>
      </x:c>
      <x:c r="F99" s="62" t="str">
        <x:v>EA</x:v>
      </x:c>
    </x:row>
    <x:row r="100" ht="15" customHeight="1">
      <x:c r="A100" s="62" t="str">
        <x:v>FG-015</x:v>
      </x:c>
      <x:c r="B100" s="62" t="str">
        <x:v>Guard Tan Product</x:v>
      </x:c>
      <x:c r="C100" s="62" t="str">
        <x:v>RM-058</x:v>
      </x:c>
      <x:c r="D100" s="62" t="str">
        <x:v>Filler 058</x:v>
      </x:c>
      <x:c r="E100" s="62" t="n">
        <x:v>115.77</x:v>
      </x:c>
      <x:c r="F100" s="62" t="str">
        <x:v>LB</x:v>
      </x:c>
    </x:row>
    <x:row r="101" ht="15" customHeight="1">
      <x:c r="A101" s="62" t="str">
        <x:v>FG-015</x:v>
      </x:c>
      <x:c r="B101" s="62" t="str">
        <x:v>Guard Tan Product</x:v>
      </x:c>
      <x:c r="C101" s="62" t="str">
        <x:v>RM-024</x:v>
      </x:c>
      <x:c r="D101" s="62" t="str">
        <x:v>Additive 024</x:v>
      </x:c>
      <x:c r="E101" s="62" t="n">
        <x:v>92.47</x:v>
      </x:c>
      <x:c r="F101" s="62" t="str">
        <x:v>GAL</x:v>
      </x:c>
    </x:row>
    <x:row r="102" ht="15" customHeight="1">
      <x:c r="A102" s="62" t="str">
        <x:v>FG-016</x:v>
      </x:c>
      <x:c r="B102" s="62" t="str">
        <x:v>Prime Blue Product</x:v>
      </x:c>
      <x:c r="C102" s="62" t="str">
        <x:v>RM-004</x:v>
      </x:c>
      <x:c r="D102" s="62" t="str">
        <x:v>Additive 004</x:v>
      </x:c>
      <x:c r="E102" s="62" t="n">
        <x:v>6.48</x:v>
      </x:c>
      <x:c r="F102" s="62" t="str">
        <x:v>GAL</x:v>
      </x:c>
    </x:row>
    <x:row r="103" ht="15" customHeight="1">
      <x:c r="A103" s="62" t="str">
        <x:v>FG-016</x:v>
      </x:c>
      <x:c r="B103" s="62" t="str">
        <x:v>Prime Blue Product</x:v>
      </x:c>
      <x:c r="C103" s="62" t="str">
        <x:v>RM-062</x:v>
      </x:c>
      <x:c r="D103" s="62" t="str">
        <x:v>Pigment 062</x:v>
      </x:c>
      <x:c r="E103" s="62" t="n">
        <x:v>9.6</x:v>
      </x:c>
      <x:c r="F103" s="62" t="str">
        <x:v>GAL</x:v>
      </x:c>
    </x:row>
    <x:row r="104" ht="15" customHeight="1">
      <x:c r="A104" s="62" t="str">
        <x:v>FG-016</x:v>
      </x:c>
      <x:c r="B104" s="62" t="str">
        <x:v>Prime Blue Product</x:v>
      </x:c>
      <x:c r="C104" s="62" t="str">
        <x:v>RM-039</x:v>
      </x:c>
      <x:c r="D104" s="62" t="str">
        <x:v>Additive 039</x:v>
      </x:c>
      <x:c r="E104" s="62" t="n">
        <x:v>18.02</x:v>
      </x:c>
      <x:c r="F104" s="62" t="str">
        <x:v>LB</x:v>
      </x:c>
    </x:row>
    <x:row r="105" ht="15" customHeight="1">
      <x:c r="A105" s="62" t="str">
        <x:v>FG-016</x:v>
      </x:c>
      <x:c r="B105" s="62" t="str">
        <x:v>Prime Blue Product</x:v>
      </x:c>
      <x:c r="C105" s="62" t="str">
        <x:v>RM-010</x:v>
      </x:c>
      <x:c r="D105" s="62" t="str">
        <x:v>Packaging 010</x:v>
      </x:c>
      <x:c r="E105" s="62" t="n">
        <x:v>48.81</x:v>
      </x:c>
      <x:c r="F105" s="62" t="str">
        <x:v>LB</x:v>
      </x:c>
    </x:row>
    <x:row r="106" ht="15" customHeight="1">
      <x:c r="A106" s="62" t="str">
        <x:v>FG-016</x:v>
      </x:c>
      <x:c r="B106" s="62" t="str">
        <x:v>Prime Blue Product</x:v>
      </x:c>
      <x:c r="C106" s="62" t="str">
        <x:v>RM-016</x:v>
      </x:c>
      <x:c r="D106" s="62" t="str">
        <x:v>Resin 016</x:v>
      </x:c>
      <x:c r="E106" s="62" t="n">
        <x:v>32.75</x:v>
      </x:c>
      <x:c r="F106" s="62" t="str">
        <x:v>LB</x:v>
      </x:c>
    </x:row>
    <x:row r="107" ht="15" customHeight="1">
      <x:c r="A107" s="62" t="str">
        <x:v>FG-016</x:v>
      </x:c>
      <x:c r="B107" s="62" t="str">
        <x:v>Prime Blue Product</x:v>
      </x:c>
      <x:c r="C107" s="62" t="str">
        <x:v>RM-023</x:v>
      </x:c>
      <x:c r="D107" s="62" t="str">
        <x:v>Filler 023</x:v>
      </x:c>
      <x:c r="E107" s="62" t="n">
        <x:v>27.38</x:v>
      </x:c>
      <x:c r="F107" s="62" t="str">
        <x:v>EA</x:v>
      </x:c>
    </x:row>
    <x:row r="108" ht="15" customHeight="1">
      <x:c r="A108" s="62" t="str">
        <x:v>FG-016</x:v>
      </x:c>
      <x:c r="B108" s="62" t="str">
        <x:v>Prime Blue Product</x:v>
      </x:c>
      <x:c r="C108" s="62" t="str">
        <x:v>RM-031</x:v>
      </x:c>
      <x:c r="D108" s="62" t="str">
        <x:v>Resin 031</x:v>
      </x:c>
      <x:c r="E108" s="62" t="n">
        <x:v>27.04</x:v>
      </x:c>
      <x:c r="F108" s="62" t="str">
        <x:v>EA</x:v>
      </x:c>
    </x:row>
    <x:row r="109" ht="15" customHeight="1">
      <x:c r="A109" s="62" t="str">
        <x:v>FG-017</x:v>
      </x:c>
      <x:c r="B109" s="62" t="str">
        <x:v>Shield Black Product</x:v>
      </x:c>
      <x:c r="C109" s="62" t="str">
        <x:v>RM-056</x:v>
      </x:c>
      <x:c r="D109" s="62" t="str">
        <x:v>Resin 056</x:v>
      </x:c>
      <x:c r="E109" s="62" t="n">
        <x:v>73.02</x:v>
      </x:c>
      <x:c r="F109" s="62" t="str">
        <x:v>EA</x:v>
      </x:c>
    </x:row>
    <x:row r="110" ht="15" customHeight="1">
      <x:c r="A110" s="62" t="str">
        <x:v>FG-017</x:v>
      </x:c>
      <x:c r="B110" s="62" t="str">
        <x:v>Shield Black Product</x:v>
      </x:c>
      <x:c r="C110" s="62" t="str">
        <x:v>RM-005</x:v>
      </x:c>
      <x:c r="D110" s="62" t="str">
        <x:v>Packaging 005</x:v>
      </x:c>
      <x:c r="E110" s="62" t="n">
        <x:v>50.91</x:v>
      </x:c>
      <x:c r="F110" s="62" t="str">
        <x:v>EA</x:v>
      </x:c>
    </x:row>
    <x:row r="111" ht="15" customHeight="1">
      <x:c r="A111" s="62" t="str">
        <x:v>FG-017</x:v>
      </x:c>
      <x:c r="B111" s="62" t="str">
        <x:v>Shield Black Product</x:v>
      </x:c>
      <x:c r="C111" s="62" t="str">
        <x:v>RM-041</x:v>
      </x:c>
      <x:c r="D111" s="62" t="str">
        <x:v>Resin 041</x:v>
      </x:c>
      <x:c r="E111" s="62" t="n">
        <x:v>38.8</x:v>
      </x:c>
      <x:c r="F111" s="62" t="str">
        <x:v>LB</x:v>
      </x:c>
    </x:row>
    <x:row r="112" ht="15" customHeight="1">
      <x:c r="A112" s="62" t="str">
        <x:v>FG-017</x:v>
      </x:c>
      <x:c r="B112" s="62" t="str">
        <x:v>Shield Black Product</x:v>
      </x:c>
      <x:c r="C112" s="62" t="str">
        <x:v>RM-025</x:v>
      </x:c>
      <x:c r="D112" s="62" t="str">
        <x:v>Packaging 025</x:v>
      </x:c>
      <x:c r="E112" s="62" t="n">
        <x:v>41.44</x:v>
      </x:c>
      <x:c r="F112" s="62" t="str">
        <x:v>EA</x:v>
      </x:c>
    </x:row>
    <x:row r="113" ht="15" customHeight="1">
      <x:c r="A113" s="62" t="str">
        <x:v>FG-017</x:v>
      </x:c>
      <x:c r="B113" s="62" t="str">
        <x:v>Shield Black Product</x:v>
      </x:c>
      <x:c r="C113" s="62" t="str">
        <x:v>RM-003</x:v>
      </x:c>
      <x:c r="D113" s="62" t="str">
        <x:v>Filler 003</x:v>
      </x:c>
      <x:c r="E113" s="62" t="n">
        <x:v>60.21</x:v>
      </x:c>
      <x:c r="F113" s="62" t="str">
        <x:v>EA</x:v>
      </x:c>
    </x:row>
    <x:row r="114" ht="15" customHeight="1">
      <x:c r="A114" s="62" t="str">
        <x:v>FG-017</x:v>
      </x:c>
      <x:c r="B114" s="62" t="str">
        <x:v>Shield Black Product</x:v>
      </x:c>
      <x:c r="C114" s="62" t="str">
        <x:v>RM-059</x:v>
      </x:c>
      <x:c r="D114" s="62" t="str">
        <x:v>Additive 059</x:v>
      </x:c>
      <x:c r="E114" s="62" t="n">
        <x:v>60.54</x:v>
      </x:c>
      <x:c r="F114" s="62" t="str">
        <x:v>GAL</x:v>
      </x:c>
    </x:row>
    <x:row r="115" ht="15" customHeight="1">
      <x:c r="A115" s="62" t="str">
        <x:v>FG-018</x:v>
      </x:c>
      <x:c r="B115" s="62" t="str">
        <x:v>Flex Red Product</x:v>
      </x:c>
      <x:c r="C115" s="62" t="str">
        <x:v>RM-038</x:v>
      </x:c>
      <x:c r="D115" s="62" t="str">
        <x:v>Filler 038</x:v>
      </x:c>
      <x:c r="E115" s="62" t="n">
        <x:v>40.52</x:v>
      </x:c>
      <x:c r="F115" s="62" t="str">
        <x:v>LB</x:v>
      </x:c>
    </x:row>
    <x:row r="116" ht="15" customHeight="1">
      <x:c r="A116" s="62" t="str">
        <x:v>FG-018</x:v>
      </x:c>
      <x:c r="B116" s="62" t="str">
        <x:v>Flex Red Product</x:v>
      </x:c>
      <x:c r="C116" s="62" t="str">
        <x:v>RM-025</x:v>
      </x:c>
      <x:c r="D116" s="62" t="str">
        <x:v>Packaging 025</x:v>
      </x:c>
      <x:c r="E116" s="62" t="n">
        <x:v>67.62</x:v>
      </x:c>
      <x:c r="F116" s="62" t="str">
        <x:v>EA</x:v>
      </x:c>
    </x:row>
    <x:row r="117" ht="15" customHeight="1">
      <x:c r="A117" s="62" t="str">
        <x:v>FG-018</x:v>
      </x:c>
      <x:c r="B117" s="62" t="str">
        <x:v>Flex Red Product</x:v>
      </x:c>
      <x:c r="C117" s="62" t="str">
        <x:v>RM-032</x:v>
      </x:c>
      <x:c r="D117" s="62" t="str">
        <x:v>Pigment 032</x:v>
      </x:c>
      <x:c r="E117" s="62" t="n">
        <x:v>50.14</x:v>
      </x:c>
      <x:c r="F117" s="62" t="str">
        <x:v>EA</x:v>
      </x:c>
    </x:row>
    <x:row r="118" ht="15" customHeight="1">
      <x:c r="A118" s="62" t="str">
        <x:v>FG-018</x:v>
      </x:c>
      <x:c r="B118" s="62" t="str">
        <x:v>Flex Red Product</x:v>
      </x:c>
      <x:c r="C118" s="62" t="str">
        <x:v>RM-015</x:v>
      </x:c>
      <x:c r="D118" s="62" t="str">
        <x:v>Packaging 015</x:v>
      </x:c>
      <x:c r="E118" s="62" t="n">
        <x:v>70.16</x:v>
      </x:c>
      <x:c r="F118" s="62" t="str">
        <x:v>GAL</x:v>
      </x:c>
    </x:row>
    <x:row r="119" ht="15" customHeight="1">
      <x:c r="A119" s="62" t="str">
        <x:v>FG-018</x:v>
      </x:c>
      <x:c r="B119" s="62" t="str">
        <x:v>Flex Red Product</x:v>
      </x:c>
      <x:c r="C119" s="62" t="str">
        <x:v>RM-024</x:v>
      </x:c>
      <x:c r="D119" s="62" t="str">
        <x:v>Additive 024</x:v>
      </x:c>
      <x:c r="E119" s="62" t="n">
        <x:v>44.72</x:v>
      </x:c>
      <x:c r="F119" s="62" t="str">
        <x:v>GAL</x:v>
      </x:c>
    </x:row>
    <x:row r="120" ht="15" customHeight="1">
      <x:c r="A120" s="62" t="str">
        <x:v>FG-018</x:v>
      </x:c>
      <x:c r="B120" s="62" t="str">
        <x:v>Flex Red Product</x:v>
      </x:c>
      <x:c r="C120" s="62" t="str">
        <x:v>RM-009</x:v>
      </x:c>
      <x:c r="D120" s="62" t="str">
        <x:v>Additive 009</x:v>
      </x:c>
      <x:c r="E120" s="62" t="n">
        <x:v>13.87</x:v>
      </x:c>
      <x:c r="F120" s="62" t="str">
        <x:v>EA</x:v>
      </x:c>
    </x:row>
    <x:row r="121" ht="15" customHeight="1">
      <x:c r="A121" s="62" t="str">
        <x:v>FG-018</x:v>
      </x:c>
      <x:c r="B121" s="62" t="str">
        <x:v>Flex Red Product</x:v>
      </x:c>
      <x:c r="C121" s="62" t="str">
        <x:v>RM-034</x:v>
      </x:c>
      <x:c r="D121" s="62" t="str">
        <x:v>Additive 034</x:v>
      </x:c>
      <x:c r="E121" s="62" t="n">
        <x:v>69.42</x:v>
      </x:c>
      <x:c r="F121" s="62" t="str">
        <x:v>EA</x:v>
      </x:c>
    </x:row>
    <x:row r="122" ht="15" customHeight="1">
      <x:c r="A122" s="62" t="str">
        <x:v>FG-018</x:v>
      </x:c>
      <x:c r="B122" s="62" t="str">
        <x:v>Flex Red Product</x:v>
      </x:c>
      <x:c r="C122" s="62" t="str">
        <x:v>RM-067</x:v>
      </x:c>
      <x:c r="D122" s="62" t="str">
        <x:v>Pigment 067</x:v>
      </x:c>
      <x:c r="E122" s="62" t="n">
        <x:v>26.57</x:v>
      </x:c>
      <x:c r="F122" s="62" t="str">
        <x:v>EA</x:v>
      </x:c>
    </x:row>
    <x:row r="123" ht="15" customHeight="1">
      <x:c r="A123" s="62" t="str">
        <x:v>FG-019</x:v>
      </x:c>
      <x:c r="B123" s="62" t="str">
        <x:v>Guard White Product</x:v>
      </x:c>
      <x:c r="C123" s="62" t="str">
        <x:v>RM-007</x:v>
      </x:c>
      <x:c r="D123" s="62" t="str">
        <x:v>Pigment 007</x:v>
      </x:c>
      <x:c r="E123" s="62" t="n">
        <x:v>64.2</x:v>
      </x:c>
      <x:c r="F123" s="62" t="str">
        <x:v>LB</x:v>
      </x:c>
    </x:row>
    <x:row r="124" ht="15" customHeight="1">
      <x:c r="A124" s="62" t="str">
        <x:v>FG-019</x:v>
      </x:c>
      <x:c r="B124" s="62" t="str">
        <x:v>Guard White Product</x:v>
      </x:c>
      <x:c r="C124" s="62" t="str">
        <x:v>RM-023</x:v>
      </x:c>
      <x:c r="D124" s="62" t="str">
        <x:v>Filler 023</x:v>
      </x:c>
      <x:c r="E124" s="62" t="n">
        <x:v>34.53</x:v>
      </x:c>
      <x:c r="F124" s="62" t="str">
        <x:v>EA</x:v>
      </x:c>
    </x:row>
    <x:row r="125" ht="15" customHeight="1">
      <x:c r="A125" s="62" t="str">
        <x:v>FG-019</x:v>
      </x:c>
      <x:c r="B125" s="62" t="str">
        <x:v>Guard White Product</x:v>
      </x:c>
      <x:c r="C125" s="62" t="str">
        <x:v>RM-062</x:v>
      </x:c>
      <x:c r="D125" s="62" t="str">
        <x:v>Pigment 062</x:v>
      </x:c>
      <x:c r="E125" s="62" t="n">
        <x:v>9</x:v>
      </x:c>
      <x:c r="F125" s="62" t="str">
        <x:v>GAL</x:v>
      </x:c>
    </x:row>
    <x:row r="126" ht="15" customHeight="1">
      <x:c r="A126" s="62" t="str">
        <x:v>FG-019</x:v>
      </x:c>
      <x:c r="B126" s="62" t="str">
        <x:v>Guard White Product</x:v>
      </x:c>
      <x:c r="C126" s="62" t="str">
        <x:v>RM-033</x:v>
      </x:c>
      <x:c r="D126" s="62" t="str">
        <x:v>Filler 033</x:v>
      </x:c>
      <x:c r="E126" s="62" t="n">
        <x:v>41.3</x:v>
      </x:c>
      <x:c r="F126" s="62" t="str">
        <x:v>GAL</x:v>
      </x:c>
    </x:row>
    <x:row r="127" ht="15" customHeight="1">
      <x:c r="A127" s="62" t="str">
        <x:v>FG-019</x:v>
      </x:c>
      <x:c r="B127" s="62" t="str">
        <x:v>Guard White Product</x:v>
      </x:c>
      <x:c r="C127" s="62" t="str">
        <x:v>RM-048</x:v>
      </x:c>
      <x:c r="D127" s="62" t="str">
        <x:v>Filler 048</x:v>
      </x:c>
      <x:c r="E127" s="62" t="n">
        <x:v>41.51</x:v>
      </x:c>
      <x:c r="F127" s="62" t="str">
        <x:v>GAL</x:v>
      </x:c>
    </x:row>
    <x:row r="128" ht="15" customHeight="1">
      <x:c r="A128" s="62" t="str">
        <x:v>FG-019</x:v>
      </x:c>
      <x:c r="B128" s="62" t="str">
        <x:v>Guard White Product</x:v>
      </x:c>
      <x:c r="C128" s="62" t="str">
        <x:v>RM-041</x:v>
      </x:c>
      <x:c r="D128" s="62" t="str">
        <x:v>Resin 041</x:v>
      </x:c>
      <x:c r="E128" s="62" t="n">
        <x:v>9.3</x:v>
      </x:c>
      <x:c r="F128" s="62" t="str">
        <x:v>LB</x:v>
      </x:c>
    </x:row>
    <x:row r="129" ht="15" customHeight="1">
      <x:c r="A129" s="62" t="str">
        <x:v>FG-019</x:v>
      </x:c>
      <x:c r="B129" s="62" t="str">
        <x:v>Guard White Product</x:v>
      </x:c>
      <x:c r="C129" s="62" t="str">
        <x:v>RM-038</x:v>
      </x:c>
      <x:c r="D129" s="62" t="str">
        <x:v>Filler 038</x:v>
      </x:c>
      <x:c r="E129" s="62" t="n">
        <x:v>50.34</x:v>
      </x:c>
      <x:c r="F129" s="62" t="str">
        <x:v>LB</x:v>
      </x:c>
    </x:row>
    <x:row r="130" ht="15" customHeight="1">
      <x:c r="A130" s="62" t="str">
        <x:v>FG-019</x:v>
      </x:c>
      <x:c r="B130" s="62" t="str">
        <x:v>Guard White Product</x:v>
      </x:c>
      <x:c r="C130" s="62" t="str">
        <x:v>RM-014</x:v>
      </x:c>
      <x:c r="D130" s="62" t="str">
        <x:v>Additive 014</x:v>
      </x:c>
      <x:c r="E130" s="62" t="n">
        <x:v>61.33</x:v>
      </x:c>
      <x:c r="F130" s="62" t="str">
        <x:v>EA</x:v>
      </x:c>
    </x:row>
    <x:row r="131" ht="15" customHeight="1">
      <x:c r="A131" s="62" t="str">
        <x:v>FG-020</x:v>
      </x:c>
      <x:c r="B131" s="62" t="str">
        <x:v>Prime Gray Product</x:v>
      </x:c>
      <x:c r="C131" s="62" t="str">
        <x:v>RM-062</x:v>
      </x:c>
      <x:c r="D131" s="62" t="str">
        <x:v>Pigment 062</x:v>
      </x:c>
      <x:c r="E131" s="62" t="n">
        <x:v>18.57</x:v>
      </x:c>
      <x:c r="F131" s="62" t="str">
        <x:v>GAL</x:v>
      </x:c>
    </x:row>
    <x:row r="132" ht="15" customHeight="1">
      <x:c r="A132" s="62" t="str">
        <x:v>FG-020</x:v>
      </x:c>
      <x:c r="B132" s="62" t="str">
        <x:v>Prime Gray Product</x:v>
      </x:c>
      <x:c r="C132" s="62" t="str">
        <x:v>RM-004</x:v>
      </x:c>
      <x:c r="D132" s="62" t="str">
        <x:v>Additive 004</x:v>
      </x:c>
      <x:c r="E132" s="62" t="n">
        <x:v>145.99</x:v>
      </x:c>
      <x:c r="F132" s="62" t="str">
        <x:v>GAL</x:v>
      </x:c>
    </x:row>
    <x:row r="133" ht="15" customHeight="1">
      <x:c r="A133" s="62" t="str">
        <x:v>FG-020</x:v>
      </x:c>
      <x:c r="B133" s="62" t="str">
        <x:v>Prime Gray Product</x:v>
      </x:c>
      <x:c r="C133" s="62" t="str">
        <x:v>RM-048</x:v>
      </x:c>
      <x:c r="D133" s="62" t="str">
        <x:v>Filler 048</x:v>
      </x:c>
      <x:c r="E133" s="62" t="n">
        <x:v>116.85</x:v>
      </x:c>
      <x:c r="F133" s="62" t="str">
        <x:v>GAL</x:v>
      </x:c>
    </x:row>
    <x:row r="134" ht="15" customHeight="1">
      <x:c r="A134" s="62" t="str">
        <x:v>FG-020</x:v>
      </x:c>
      <x:c r="B134" s="62" t="str">
        <x:v>Prime Gray Product</x:v>
      </x:c>
      <x:c r="C134" s="62" t="str">
        <x:v>RM-011</x:v>
      </x:c>
      <x:c r="D134" s="62" t="str">
        <x:v>Resin 011</x:v>
      </x:c>
      <x:c r="E134" s="62" t="n">
        <x:v>90.45</x:v>
      </x:c>
      <x:c r="F134" s="62" t="str">
        <x:v>LB</x:v>
      </x:c>
    </x:row>
    <x:row r="135" ht="15" customHeight="1">
      <x:c r="A135" s="62" t="str">
        <x:v>FG-020</x:v>
      </x:c>
      <x:c r="B135" s="62" t="str">
        <x:v>Prime Gray Product</x:v>
      </x:c>
      <x:c r="C135" s="62" t="str">
        <x:v>RM-026</x:v>
      </x:c>
      <x:c r="D135" s="62" t="str">
        <x:v>Resin 026</x:v>
      </x:c>
      <x:c r="E135" s="62" t="n">
        <x:v>115.53</x:v>
      </x:c>
      <x:c r="F135" s="62" t="str">
        <x:v>LB</x:v>
      </x:c>
    </x:row>
    <x:row r="136" ht="15" customHeight="1">
      <x:c r="A136" s="62" t="str">
        <x:v>FG-020</x:v>
      </x:c>
      <x:c r="B136" s="62" t="str">
        <x:v>Prime Gray Product</x:v>
      </x:c>
      <x:c r="C136" s="62" t="str">
        <x:v>RM-052</x:v>
      </x:c>
      <x:c r="D136" s="62" t="str">
        <x:v>Pigment 052</x:v>
      </x:c>
      <x:c r="E136" s="62" t="n">
        <x:v>75.34</x:v>
      </x:c>
      <x:c r="F136" s="62" t="str">
        <x:v>EA</x:v>
      </x:c>
    </x:row>
    <x:row r="137" ht="15" customHeight="1">
      <x:c r="A137" s="62" t="str">
        <x:v>FG-021</x:v>
      </x:c>
      <x:c r="B137" s="62" t="str">
        <x:v>Shield Tan Product</x:v>
      </x:c>
      <x:c r="C137" s="62" t="str">
        <x:v>RM-001</x:v>
      </x:c>
      <x:c r="D137" s="62" t="str">
        <x:v>Resin 001</x:v>
      </x:c>
      <x:c r="E137" s="62" t="n">
        <x:v>56.97</x:v>
      </x:c>
      <x:c r="F137" s="62" t="str">
        <x:v>GAL</x:v>
      </x:c>
    </x:row>
    <x:row r="138" ht="15" customHeight="1">
      <x:c r="A138" s="62" t="str">
        <x:v>FG-021</x:v>
      </x:c>
      <x:c r="B138" s="62" t="str">
        <x:v>Shield Tan Product</x:v>
      </x:c>
      <x:c r="C138" s="62" t="str">
        <x:v>RM-018</x:v>
      </x:c>
      <x:c r="D138" s="62" t="str">
        <x:v>Filler 018</x:v>
      </x:c>
      <x:c r="E138" s="62" t="n">
        <x:v>37.67</x:v>
      </x:c>
      <x:c r="F138" s="62" t="str">
        <x:v>GAL</x:v>
      </x:c>
    </x:row>
    <x:row r="139" ht="15" customHeight="1">
      <x:c r="A139" s="62" t="str">
        <x:v>FG-021</x:v>
      </x:c>
      <x:c r="B139" s="62" t="str">
        <x:v>Shield Tan Product</x:v>
      </x:c>
      <x:c r="C139" s="62" t="str">
        <x:v>RM-013</x:v>
      </x:c>
      <x:c r="D139" s="62" t="str">
        <x:v>Filler 013</x:v>
      </x:c>
      <x:c r="E139" s="62" t="n">
        <x:v>14.71</x:v>
      </x:c>
      <x:c r="F139" s="62" t="str">
        <x:v>EA</x:v>
      </x:c>
    </x:row>
    <x:row r="140" ht="15" customHeight="1">
      <x:c r="A140" s="62" t="str">
        <x:v>FG-021</x:v>
      </x:c>
      <x:c r="B140" s="62" t="str">
        <x:v>Shield Tan Product</x:v>
      </x:c>
      <x:c r="C140" s="62" t="str">
        <x:v>RM-046</x:v>
      </x:c>
      <x:c r="D140" s="62" t="str">
        <x:v>Resin 046</x:v>
      </x:c>
      <x:c r="E140" s="62" t="n">
        <x:v>25.17</x:v>
      </x:c>
      <x:c r="F140" s="62" t="str">
        <x:v>GAL</x:v>
      </x:c>
    </x:row>
    <x:row r="141" ht="15" customHeight="1">
      <x:c r="A141" s="62" t="str">
        <x:v>FG-021</x:v>
      </x:c>
      <x:c r="B141" s="62" t="str">
        <x:v>Shield Tan Product</x:v>
      </x:c>
      <x:c r="C141" s="62" t="str">
        <x:v>RM-044</x:v>
      </x:c>
      <x:c r="D141" s="62" t="str">
        <x:v>Additive 044</x:v>
      </x:c>
      <x:c r="E141" s="62" t="n">
        <x:v>70.82</x:v>
      </x:c>
      <x:c r="F141" s="62" t="str">
        <x:v>LB</x:v>
      </x:c>
    </x:row>
    <x:row r="142" ht="15" customHeight="1">
      <x:c r="A142" s="62" t="str">
        <x:v>FG-021</x:v>
      </x:c>
      <x:c r="B142" s="62" t="str">
        <x:v>Shield Tan Product</x:v>
      </x:c>
      <x:c r="C142" s="62" t="str">
        <x:v>RM-020</x:v>
      </x:c>
      <x:c r="D142" s="62" t="str">
        <x:v>Packaging 020</x:v>
      </x:c>
      <x:c r="E142" s="62" t="n">
        <x:v>51.42</x:v>
      </x:c>
      <x:c r="F142" s="62" t="str">
        <x:v>LB</x:v>
      </x:c>
    </x:row>
    <x:row r="143" ht="15" customHeight="1">
      <x:c r="A143" s="62" t="str">
        <x:v>FG-021</x:v>
      </x:c>
      <x:c r="B143" s="62" t="str">
        <x:v>Shield Tan Product</x:v>
      </x:c>
      <x:c r="C143" s="62" t="str">
        <x:v>RM-063</x:v>
      </x:c>
      <x:c r="D143" s="62" t="str">
        <x:v>Filler 063</x:v>
      </x:c>
      <x:c r="E143" s="62" t="n">
        <x:v>76.56</x:v>
      </x:c>
      <x:c r="F143" s="62" t="str">
        <x:v>LB</x:v>
      </x:c>
    </x:row>
    <x:row r="144" ht="15" customHeight="1">
      <x:c r="A144" s="62" t="str">
        <x:v>FG-022</x:v>
      </x:c>
      <x:c r="B144" s="62" t="str">
        <x:v>Flex Blue Product</x:v>
      </x:c>
      <x:c r="C144" s="62" t="str">
        <x:v>RM-038</x:v>
      </x:c>
      <x:c r="D144" s="62" t="str">
        <x:v>Filler 038</x:v>
      </x:c>
      <x:c r="E144" s="62" t="n">
        <x:v>123.54</x:v>
      </x:c>
      <x:c r="F144" s="62" t="str">
        <x:v>LB</x:v>
      </x:c>
    </x:row>
    <x:row r="145" ht="15" customHeight="1">
      <x:c r="A145" s="62" t="str">
        <x:v>FG-022</x:v>
      </x:c>
      <x:c r="B145" s="62" t="str">
        <x:v>Flex Blue Product</x:v>
      </x:c>
      <x:c r="C145" s="62" t="str">
        <x:v>RM-015</x:v>
      </x:c>
      <x:c r="D145" s="62" t="str">
        <x:v>Packaging 015</x:v>
      </x:c>
      <x:c r="E145" s="62" t="n">
        <x:v>10.04</x:v>
      </x:c>
      <x:c r="F145" s="62" t="str">
        <x:v>GAL</x:v>
      </x:c>
    </x:row>
    <x:row r="146" ht="15" customHeight="1">
      <x:c r="A146" s="62" t="str">
        <x:v>FG-022</x:v>
      </x:c>
      <x:c r="B146" s="62" t="str">
        <x:v>Flex Blue Product</x:v>
      </x:c>
      <x:c r="C146" s="62" t="str">
        <x:v>RM-041</x:v>
      </x:c>
      <x:c r="D146" s="62" t="str">
        <x:v>Resin 041</x:v>
      </x:c>
      <x:c r="E146" s="62" t="n">
        <x:v>97.02</x:v>
      </x:c>
      <x:c r="F146" s="62" t="str">
        <x:v>LB</x:v>
      </x:c>
    </x:row>
    <x:row r="147" ht="15" customHeight="1">
      <x:c r="A147" s="62" t="str">
        <x:v>FG-022</x:v>
      </x:c>
      <x:c r="B147" s="62" t="str">
        <x:v>Flex Blue Product</x:v>
      </x:c>
      <x:c r="C147" s="62" t="str">
        <x:v>RM-028</x:v>
      </x:c>
      <x:c r="D147" s="62" t="str">
        <x:v>Filler 028</x:v>
      </x:c>
      <x:c r="E147" s="62" t="n">
        <x:v>14.86</x:v>
      </x:c>
      <x:c r="F147" s="62" t="str">
        <x:v>EA</x:v>
      </x:c>
    </x:row>
    <x:row r="148" ht="15" customHeight="1">
      <x:c r="A148" s="62" t="str">
        <x:v>FG-022</x:v>
      </x:c>
      <x:c r="B148" s="62" t="str">
        <x:v>Flex Blue Product</x:v>
      </x:c>
      <x:c r="C148" s="62" t="str">
        <x:v>RM-024</x:v>
      </x:c>
      <x:c r="D148" s="62" t="str">
        <x:v>Additive 024</x:v>
      </x:c>
      <x:c r="E148" s="62" t="n">
        <x:v>137.42</x:v>
      </x:c>
      <x:c r="F148" s="62" t="str">
        <x:v>GAL</x:v>
      </x:c>
    </x:row>
    <x:row r="149" ht="15" customHeight="1">
      <x:c r="A149" s="62" t="str">
        <x:v>FG-022</x:v>
      </x:c>
      <x:c r="B149" s="62" t="str">
        <x:v>Flex Blue Product</x:v>
      </x:c>
      <x:c r="C149" s="62" t="str">
        <x:v>RM-062</x:v>
      </x:c>
      <x:c r="D149" s="62" t="str">
        <x:v>Pigment 062</x:v>
      </x:c>
      <x:c r="E149" s="62" t="n">
        <x:v>26.71</x:v>
      </x:c>
      <x:c r="F149" s="62" t="str">
        <x:v>GAL</x:v>
      </x:c>
    </x:row>
    <x:row r="150" ht="15" customHeight="1">
      <x:c r="A150" s="62" t="str">
        <x:v>FG-022</x:v>
      </x:c>
      <x:c r="B150" s="62" t="str">
        <x:v>Flex Blue Product</x:v>
      </x:c>
      <x:c r="C150" s="62" t="str">
        <x:v>RM-005</x:v>
      </x:c>
      <x:c r="D150" s="62" t="str">
        <x:v>Packaging 005</x:v>
      </x:c>
      <x:c r="E150" s="62" t="n">
        <x:v>17.79</x:v>
      </x:c>
      <x:c r="F150" s="62" t="str">
        <x:v>EA</x:v>
      </x:c>
    </x:row>
    <x:row r="151" ht="15" customHeight="1">
      <x:c r="A151" s="62" t="str">
        <x:v>FG-022</x:v>
      </x:c>
      <x:c r="B151" s="62" t="str">
        <x:v>Flex Blue Product</x:v>
      </x:c>
      <x:c r="C151" s="62" t="str">
        <x:v>RM-060</x:v>
      </x:c>
      <x:c r="D151" s="62" t="str">
        <x:v>Packaging 060</x:v>
      </x:c>
      <x:c r="E151" s="62" t="n">
        <x:v>108.66</x:v>
      </x:c>
      <x:c r="F151" s="62" t="str">
        <x:v>LB</x:v>
      </x:c>
    </x:row>
    <x:row r="152" ht="15" customHeight="1">
      <x:c r="A152" s="62" t="str">
        <x:v>FG-023</x:v>
      </x:c>
      <x:c r="B152" s="62" t="str">
        <x:v>Guard Black Product</x:v>
      </x:c>
      <x:c r="C152" s="62" t="str">
        <x:v>RM-010</x:v>
      </x:c>
      <x:c r="D152" s="62" t="str">
        <x:v>Packaging 010</x:v>
      </x:c>
      <x:c r="E152" s="62" t="n">
        <x:v>59.53</x:v>
      </x:c>
      <x:c r="F152" s="62" t="str">
        <x:v>LB</x:v>
      </x:c>
    </x:row>
    <x:row r="153" ht="15" customHeight="1">
      <x:c r="A153" s="62" t="str">
        <x:v>FG-023</x:v>
      </x:c>
      <x:c r="B153" s="62" t="str">
        <x:v>Guard Black Product</x:v>
      </x:c>
      <x:c r="C153" s="62" t="str">
        <x:v>RM-067</x:v>
      </x:c>
      <x:c r="D153" s="62" t="str">
        <x:v>Pigment 067</x:v>
      </x:c>
      <x:c r="E153" s="62" t="n">
        <x:v>43.39</x:v>
      </x:c>
      <x:c r="F153" s="62" t="str">
        <x:v>EA</x:v>
      </x:c>
    </x:row>
    <x:row r="154" ht="15" customHeight="1">
      <x:c r="A154" s="62" t="str">
        <x:v>FG-023</x:v>
      </x:c>
      <x:c r="B154" s="62" t="str">
        <x:v>Guard Black Product</x:v>
      </x:c>
      <x:c r="C154" s="62" t="str">
        <x:v>RM-032</x:v>
      </x:c>
      <x:c r="D154" s="62" t="str">
        <x:v>Pigment 032</x:v>
      </x:c>
      <x:c r="E154" s="62" t="n">
        <x:v>80.54</x:v>
      </x:c>
      <x:c r="F154" s="62" t="str">
        <x:v>EA</x:v>
      </x:c>
    </x:row>
    <x:row r="155" ht="15" customHeight="1">
      <x:c r="A155" s="62" t="str">
        <x:v>FG-023</x:v>
      </x:c>
      <x:c r="B155" s="62" t="str">
        <x:v>Guard Black Product</x:v>
      </x:c>
      <x:c r="C155" s="62" t="str">
        <x:v>RM-059</x:v>
      </x:c>
      <x:c r="D155" s="62" t="str">
        <x:v>Additive 059</x:v>
      </x:c>
      <x:c r="E155" s="62" t="n">
        <x:v>62.42</x:v>
      </x:c>
      <x:c r="F155" s="62" t="str">
        <x:v>GAL</x:v>
      </x:c>
    </x:row>
    <x:row r="156" ht="15" customHeight="1">
      <x:c r="A156" s="62" t="str">
        <x:v>FG-023</x:v>
      </x:c>
      <x:c r="B156" s="62" t="str">
        <x:v>Guard Black Product</x:v>
      </x:c>
      <x:c r="C156" s="62" t="str">
        <x:v>RM-046</x:v>
      </x:c>
      <x:c r="D156" s="62" t="str">
        <x:v>Resin 046</x:v>
      </x:c>
      <x:c r="E156" s="62" t="n">
        <x:v>65.28</x:v>
      </x:c>
      <x:c r="F156" s="62" t="str">
        <x:v>GAL</x:v>
      </x:c>
    </x:row>
    <x:row r="157" ht="15" customHeight="1">
      <x:c r="A157" s="62" t="str">
        <x:v>FG-023</x:v>
      </x:c>
      <x:c r="B157" s="62" t="str">
        <x:v>Guard Black Product</x:v>
      </x:c>
      <x:c r="C157" s="62" t="str">
        <x:v>RM-060</x:v>
      </x:c>
      <x:c r="D157" s="62" t="str">
        <x:v>Packaging 060</x:v>
      </x:c>
      <x:c r="E157" s="62" t="n">
        <x:v>48.46</x:v>
      </x:c>
      <x:c r="F157" s="62" t="str">
        <x:v>LB</x:v>
      </x:c>
    </x:row>
    <x:row r="158" ht="15" customHeight="1">
      <x:c r="A158" s="62" t="str">
        <x:v>FG-023</x:v>
      </x:c>
      <x:c r="B158" s="62" t="str">
        <x:v>Guard Black Product</x:v>
      </x:c>
      <x:c r="C158" s="62" t="str">
        <x:v>RM-053</x:v>
      </x:c>
      <x:c r="D158" s="62" t="str">
        <x:v>Filler 053</x:v>
      </x:c>
      <x:c r="E158" s="62" t="n">
        <x:v>39.3</x:v>
      </x:c>
      <x:c r="F158" s="62" t="str">
        <x:v>EA</x:v>
      </x:c>
    </x:row>
    <x:row r="159" ht="15" customHeight="1">
      <x:c r="A159" s="62" t="str">
        <x:v>FG-024</x:v>
      </x:c>
      <x:c r="B159" s="62" t="str">
        <x:v>Prime Red Product</x:v>
      </x:c>
      <x:c r="C159" s="62" t="str">
        <x:v>RM-063</x:v>
      </x:c>
      <x:c r="D159" s="62" t="str">
        <x:v>Filler 063</x:v>
      </x:c>
      <x:c r="E159" s="62" t="n">
        <x:v>116.22</x:v>
      </x:c>
      <x:c r="F159" s="62" t="str">
        <x:v>LB</x:v>
      </x:c>
    </x:row>
    <x:row r="160" ht="15" customHeight="1">
      <x:c r="A160" s="62" t="str">
        <x:v>FG-024</x:v>
      </x:c>
      <x:c r="B160" s="62" t="str">
        <x:v>Prime Red Product</x:v>
      </x:c>
      <x:c r="C160" s="62" t="str">
        <x:v>RM-037</x:v>
      </x:c>
      <x:c r="D160" s="62" t="str">
        <x:v>Pigment 037</x:v>
      </x:c>
      <x:c r="E160" s="62" t="n">
        <x:v>64.55</x:v>
      </x:c>
      <x:c r="F160" s="62" t="str">
        <x:v>GAL</x:v>
      </x:c>
    </x:row>
    <x:row r="161" ht="15" customHeight="1">
      <x:c r="A161" s="62" t="str">
        <x:v>FG-024</x:v>
      </x:c>
      <x:c r="B161" s="62" t="str">
        <x:v>Prime Red Product</x:v>
      </x:c>
      <x:c r="C161" s="62" t="str">
        <x:v>RM-058</x:v>
      </x:c>
      <x:c r="D161" s="62" t="str">
        <x:v>Filler 058</x:v>
      </x:c>
      <x:c r="E161" s="62" t="n">
        <x:v>54.64</x:v>
      </x:c>
      <x:c r="F161" s="62" t="str">
        <x:v>LB</x:v>
      </x:c>
    </x:row>
    <x:row r="162" ht="15" customHeight="1">
      <x:c r="A162" s="62" t="str">
        <x:v>FG-024</x:v>
      </x:c>
      <x:c r="B162" s="62" t="str">
        <x:v>Prime Red Product</x:v>
      </x:c>
      <x:c r="C162" s="62" t="str">
        <x:v>RM-044</x:v>
      </x:c>
      <x:c r="D162" s="62" t="str">
        <x:v>Additive 044</x:v>
      </x:c>
      <x:c r="E162" s="62" t="n">
        <x:v>92.32</x:v>
      </x:c>
      <x:c r="F162" s="62" t="str">
        <x:v>LB</x:v>
      </x:c>
    </x:row>
    <x:row r="163" ht="15" customHeight="1">
      <x:c r="A163" s="62" t="str">
        <x:v>FG-024</x:v>
      </x:c>
      <x:c r="B163" s="62" t="str">
        <x:v>Prime Red Product</x:v>
      </x:c>
      <x:c r="C163" s="62" t="str">
        <x:v>RM-013</x:v>
      </x:c>
      <x:c r="D163" s="62" t="str">
        <x:v>Filler 013</x:v>
      </x:c>
      <x:c r="E163" s="62" t="n">
        <x:v>49.92</x:v>
      </x:c>
      <x:c r="F163" s="62" t="str">
        <x:v>EA</x:v>
      </x:c>
    </x:row>
    <x:row r="164" ht="15" customHeight="1">
      <x:c r="A164" s="62" t="str">
        <x:v>FG-024</x:v>
      </x:c>
      <x:c r="B164" s="62" t="str">
        <x:v>Prime Red Product</x:v>
      </x:c>
      <x:c r="C164" s="62" t="str">
        <x:v>RM-006</x:v>
      </x:c>
      <x:c r="D164" s="62" t="str">
        <x:v>Resin 006</x:v>
      </x:c>
      <x:c r="E164" s="62" t="n">
        <x:v>55.55</x:v>
      </x:c>
      <x:c r="F164" s="62" t="str">
        <x:v>EA</x:v>
      </x:c>
    </x:row>
  </x:sheetData>
  <x:pageMargins left="0.7" right="0.7" top="0.75" bottom="0.75" header="0.3" footer="0.3"/>
  <x:tableParts count="1">
    <x:tablePart xmlns:r="http://schemas.openxmlformats.org/officeDocument/2006/relationships" r:id="Ra07d5d251d3e4c3b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.109999656677246" hidden="0" customWidth="1"/>
    <x:col min="2" max="2" width="18.889999389648438" hidden="0" customWidth="1"/>
    <x:col min="3" max="3" width="9.5600004196167" hidden="0" customWidth="1"/>
    <x:col min="4" max="4" width="6.670000076293945" hidden="0" customWidth="1"/>
    <x:col min="5" max="5" width="9.4399995803833" hidden="0" customWidth="1"/>
    <x:col min="6" max="6" width="10.220000267028809" hidden="0" customWidth="1"/>
    <x:col min="7" max="7" width="10.220000267028809" hidden="0" customWidth="1"/>
    <x:col min="8" max="8" width="8.4399995803833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</x:cols>
  <x:sheetData>
    <x:row r="1" ht="27" customHeight="1">
      <x:c r="A1" s="60" t="str">
        <x:v>Item</x:v>
      </x:c>
      <x:c r="B1" s="61" t="str">
        <x:v>Description</x:v>
      </x:c>
      <x:c r="C1" s="61" t="str">
        <x:v>Category</x:v>
      </x:c>
      <x:c r="D1" s="61" t="str">
        <x:v>UOM</x:v>
      </x:c>
      <x:c r="E1" s="61" t="str">
        <x:v>On Hand</x:v>
      </x:c>
      <x:c r="F1" s="61" t="str">
        <x:v>Safety Stock</x:v>
      </x:c>
      <x:c r="G1" s="61" t="str">
        <x:v>Lead Time Days</x:v>
      </x:c>
      <x:c r="H1" s="61" t="str">
        <x:v>Unit Cost</x:v>
      </x:c>
    </x:row>
    <x:row r="2" ht="15" customHeight="1">
      <x:c r="A2" s="62" t="str">
        <x:v>RM-001</x:v>
      </x:c>
      <x:c r="B2" s="62" t="str">
        <x:v>Resin 001</x:v>
      </x:c>
      <x:c r="C2" s="62" t="str">
        <x:v>Resin</x:v>
      </x:c>
      <x:c r="D2" s="62" t="str">
        <x:v>GAL</x:v>
      </x:c>
      <x:c r="E2" s="62" t="n">
        <x:v>9214</x:v>
      </x:c>
      <x:c r="F2" s="62" t="n">
        <x:v>713</x:v>
      </x:c>
      <x:c r="G2" s="62" t="n">
        <x:v>35</x:v>
      </x:c>
      <x:c r="H2" s="65" t="n">
        <x:v>0.5</x:v>
      </x:c>
    </x:row>
    <x:row r="3" ht="15" customHeight="1">
      <x:c r="A3" s="62" t="str">
        <x:v>RM-002</x:v>
      </x:c>
      <x:c r="B3" s="62" t="str">
        <x:v>Pigment 002</x:v>
      </x:c>
      <x:c r="C3" s="62" t="str">
        <x:v>Pigment</x:v>
      </x:c>
      <x:c r="D3" s="62" t="str">
        <x:v>LB</x:v>
      </x:c>
      <x:c r="E3" s="62" t="n">
        <x:v>10772</x:v>
      </x:c>
      <x:c r="F3" s="62" t="n">
        <x:v>597</x:v>
      </x:c>
      <x:c r="G3" s="62" t="n">
        <x:v>21</x:v>
      </x:c>
      <x:c r="H3" s="65" t="n">
        <x:v>5.32</x:v>
      </x:c>
    </x:row>
    <x:row r="4" ht="15" customHeight="1">
      <x:c r="A4" s="62" t="str">
        <x:v>RM-003</x:v>
      </x:c>
      <x:c r="B4" s="62" t="str">
        <x:v>Filler 003</x:v>
      </x:c>
      <x:c r="C4" s="62" t="str">
        <x:v>Filler</x:v>
      </x:c>
      <x:c r="D4" s="62" t="str">
        <x:v>EA</x:v>
      </x:c>
      <x:c r="E4" s="62" t="n">
        <x:v>15564</x:v>
      </x:c>
      <x:c r="F4" s="62" t="n">
        <x:v>174</x:v>
      </x:c>
      <x:c r="G4" s="62" t="n">
        <x:v>21</x:v>
      </x:c>
      <x:c r="H4" s="65" t="n">
        <x:v>6.59</x:v>
      </x:c>
    </x:row>
    <x:row r="5" ht="15" customHeight="1">
      <x:c r="A5" s="62" t="str">
        <x:v>RM-004</x:v>
      </x:c>
      <x:c r="B5" s="62" t="str">
        <x:v>Additive 004</x:v>
      </x:c>
      <x:c r="C5" s="62" t="str">
        <x:v>Additive</x:v>
      </x:c>
      <x:c r="D5" s="62" t="str">
        <x:v>GAL</x:v>
      </x:c>
      <x:c r="E5" s="62" t="n">
        <x:v>11262</x:v>
      </x:c>
      <x:c r="F5" s="62" t="n">
        <x:v>1178</x:v>
      </x:c>
      <x:c r="G5" s="62" t="n">
        <x:v>14</x:v>
      </x:c>
      <x:c r="H5" s="65" t="n">
        <x:v>0.67</x:v>
      </x:c>
    </x:row>
    <x:row r="6" ht="15" customHeight="1">
      <x:c r="A6" s="62" t="str">
        <x:v>RM-005</x:v>
      </x:c>
      <x:c r="B6" s="62" t="str">
        <x:v>Packaging 005</x:v>
      </x:c>
      <x:c r="C6" s="62" t="str">
        <x:v>Packaging</x:v>
      </x:c>
      <x:c r="D6" s="62" t="str">
        <x:v>EA</x:v>
      </x:c>
      <x:c r="E6" s="62" t="n">
        <x:v>8699</x:v>
      </x:c>
      <x:c r="F6" s="62" t="n">
        <x:v>1174</x:v>
      </x:c>
      <x:c r="G6" s="62" t="n">
        <x:v>14</x:v>
      </x:c>
      <x:c r="H6" s="65" t="n">
        <x:v>3.86</x:v>
      </x:c>
    </x:row>
    <x:row r="7" ht="15" customHeight="1">
      <x:c r="A7" s="62" t="str">
        <x:v>RM-006</x:v>
      </x:c>
      <x:c r="B7" s="62" t="str">
        <x:v>Resin 006</x:v>
      </x:c>
      <x:c r="C7" s="62" t="str">
        <x:v>Resin</x:v>
      </x:c>
      <x:c r="D7" s="62" t="str">
        <x:v>EA</x:v>
      </x:c>
      <x:c r="E7" s="62" t="n">
        <x:v>1295</x:v>
      </x:c>
      <x:c r="F7" s="62" t="n">
        <x:v>599</x:v>
      </x:c>
      <x:c r="G7" s="62" t="n">
        <x:v>35</x:v>
      </x:c>
      <x:c r="H7" s="65" t="n">
        <x:v>6.6</x:v>
      </x:c>
    </x:row>
    <x:row r="8" ht="15" customHeight="1">
      <x:c r="A8" s="62" t="str">
        <x:v>RM-007</x:v>
      </x:c>
      <x:c r="B8" s="62" t="str">
        <x:v>Pigment 007</x:v>
      </x:c>
      <x:c r="C8" s="62" t="str">
        <x:v>Pigment</x:v>
      </x:c>
      <x:c r="D8" s="62" t="str">
        <x:v>LB</x:v>
      </x:c>
      <x:c r="E8" s="62" t="n">
        <x:v>9115</x:v>
      </x:c>
      <x:c r="F8" s="62" t="n">
        <x:v>230</x:v>
      </x:c>
      <x:c r="G8" s="62" t="n">
        <x:v>21</x:v>
      </x:c>
      <x:c r="H8" s="65" t="n">
        <x:v>5.59</x:v>
      </x:c>
    </x:row>
    <x:row r="9" ht="15" customHeight="1">
      <x:c r="A9" s="62" t="str">
        <x:v>RM-008</x:v>
      </x:c>
      <x:c r="B9" s="62" t="str">
        <x:v>Filler 008</x:v>
      </x:c>
      <x:c r="C9" s="62" t="str">
        <x:v>Filler</x:v>
      </x:c>
      <x:c r="D9" s="62" t="str">
        <x:v>GAL</x:v>
      </x:c>
      <x:c r="E9" s="62" t="n">
        <x:v>430</x:v>
      </x:c>
      <x:c r="F9" s="62" t="n">
        <x:v>1037</x:v>
      </x:c>
      <x:c r="G9" s="62" t="n">
        <x:v>35</x:v>
      </x:c>
      <x:c r="H9" s="65" t="n">
        <x:v>4.44</x:v>
      </x:c>
    </x:row>
    <x:row r="10" ht="15" customHeight="1">
      <x:c r="A10" s="62" t="str">
        <x:v>RM-009</x:v>
      </x:c>
      <x:c r="B10" s="62" t="str">
        <x:v>Additive 009</x:v>
      </x:c>
      <x:c r="C10" s="62" t="str">
        <x:v>Additive</x:v>
      </x:c>
      <x:c r="D10" s="62" t="str">
        <x:v>EA</x:v>
      </x:c>
      <x:c r="E10" s="62" t="n">
        <x:v>13813</x:v>
      </x:c>
      <x:c r="F10" s="62" t="n">
        <x:v>1377</x:v>
      </x:c>
      <x:c r="G10" s="62" t="n">
        <x:v>14</x:v>
      </x:c>
      <x:c r="H10" s="65" t="n">
        <x:v>2.44</x:v>
      </x:c>
    </x:row>
    <x:row r="11" ht="15" customHeight="1">
      <x:c r="A11" s="62" t="str">
        <x:v>RM-010</x:v>
      </x:c>
      <x:c r="B11" s="62" t="str">
        <x:v>Packaging 010</x:v>
      </x:c>
      <x:c r="C11" s="62" t="str">
        <x:v>Packaging</x:v>
      </x:c>
      <x:c r="D11" s="62" t="str">
        <x:v>LB</x:v>
      </x:c>
      <x:c r="E11" s="62" t="n">
        <x:v>14191</x:v>
      </x:c>
      <x:c r="F11" s="62" t="n">
        <x:v>615</x:v>
      </x:c>
      <x:c r="G11" s="62" t="n">
        <x:v>35</x:v>
      </x:c>
      <x:c r="H11" s="65" t="n">
        <x:v>7.62</x:v>
      </x:c>
    </x:row>
    <x:row r="12" ht="15" customHeight="1">
      <x:c r="A12" s="62" t="str">
        <x:v>RM-011</x:v>
      </x:c>
      <x:c r="B12" s="62" t="str">
        <x:v>Resin 011</x:v>
      </x:c>
      <x:c r="C12" s="62" t="str">
        <x:v>Resin</x:v>
      </x:c>
      <x:c r="D12" s="62" t="str">
        <x:v>LB</x:v>
      </x:c>
      <x:c r="E12" s="62" t="n">
        <x:v>16410</x:v>
      </x:c>
      <x:c r="F12" s="62" t="n">
        <x:v>1275</x:v>
      </x:c>
      <x:c r="G12" s="62" t="n">
        <x:v>35</x:v>
      </x:c>
      <x:c r="H12" s="65" t="n">
        <x:v>1.82</x:v>
      </x:c>
    </x:row>
    <x:row r="13" ht="15" customHeight="1">
      <x:c r="A13" s="62" t="str">
        <x:v>RM-012</x:v>
      </x:c>
      <x:c r="B13" s="62" t="str">
        <x:v>Pigment 012</x:v>
      </x:c>
      <x:c r="C13" s="62" t="str">
        <x:v>Pigment</x:v>
      </x:c>
      <x:c r="D13" s="62" t="str">
        <x:v>GAL</x:v>
      </x:c>
      <x:c r="E13" s="62" t="n">
        <x:v>17683</x:v>
      </x:c>
      <x:c r="F13" s="62" t="n">
        <x:v>814</x:v>
      </x:c>
      <x:c r="G13" s="62" t="n">
        <x:v>14</x:v>
      </x:c>
      <x:c r="H13" s="65" t="n">
        <x:v>2.95</x:v>
      </x:c>
    </x:row>
    <x:row r="14" ht="15" customHeight="1">
      <x:c r="A14" s="62" t="str">
        <x:v>RM-013</x:v>
      </x:c>
      <x:c r="B14" s="62" t="str">
        <x:v>Filler 013</x:v>
      </x:c>
      <x:c r="C14" s="62" t="str">
        <x:v>Filler</x:v>
      </x:c>
      <x:c r="D14" s="62" t="str">
        <x:v>EA</x:v>
      </x:c>
      <x:c r="E14" s="62" t="n">
        <x:v>16230</x:v>
      </x:c>
      <x:c r="F14" s="62" t="n">
        <x:v>1037</x:v>
      </x:c>
      <x:c r="G14" s="62" t="n">
        <x:v>42</x:v>
      </x:c>
      <x:c r="H14" s="65" t="n">
        <x:v>3.11</x:v>
      </x:c>
    </x:row>
    <x:row r="15" ht="15" customHeight="1">
      <x:c r="A15" s="62" t="str">
        <x:v>RM-014</x:v>
      </x:c>
      <x:c r="B15" s="62" t="str">
        <x:v>Additive 014</x:v>
      </x:c>
      <x:c r="C15" s="62" t="str">
        <x:v>Additive</x:v>
      </x:c>
      <x:c r="D15" s="62" t="str">
        <x:v>EA</x:v>
      </x:c>
      <x:c r="E15" s="62" t="n">
        <x:v>2788</x:v>
      </x:c>
      <x:c r="F15" s="62" t="n">
        <x:v>1133</x:v>
      </x:c>
      <x:c r="G15" s="62" t="n">
        <x:v>28</x:v>
      </x:c>
      <x:c r="H15" s="65" t="n">
        <x:v>3.22</x:v>
      </x:c>
    </x:row>
    <x:row r="16" ht="15" customHeight="1">
      <x:c r="A16" s="62" t="str">
        <x:v>RM-015</x:v>
      </x:c>
      <x:c r="B16" s="62" t="str">
        <x:v>Packaging 015</x:v>
      </x:c>
      <x:c r="C16" s="62" t="str">
        <x:v>Packaging</x:v>
      </x:c>
      <x:c r="D16" s="62" t="str">
        <x:v>GAL</x:v>
      </x:c>
      <x:c r="E16" s="62" t="n">
        <x:v>8914</x:v>
      </x:c>
      <x:c r="F16" s="62" t="n">
        <x:v>1380</x:v>
      </x:c>
      <x:c r="G16" s="62" t="n">
        <x:v>14</x:v>
      </x:c>
      <x:c r="H16" s="65" t="n">
        <x:v>2.18</x:v>
      </x:c>
    </x:row>
    <x:row r="17" ht="15" customHeight="1">
      <x:c r="A17" s="62" t="str">
        <x:v>RM-016</x:v>
      </x:c>
      <x:c r="B17" s="62" t="str">
        <x:v>Resin 016</x:v>
      </x:c>
      <x:c r="C17" s="62" t="str">
        <x:v>Resin</x:v>
      </x:c>
      <x:c r="D17" s="62" t="str">
        <x:v>LB</x:v>
      </x:c>
      <x:c r="E17" s="62" t="n">
        <x:v>116</x:v>
      </x:c>
      <x:c r="F17" s="62" t="n">
        <x:v>888</x:v>
      </x:c>
      <x:c r="G17" s="62" t="n">
        <x:v>42</x:v>
      </x:c>
      <x:c r="H17" s="65" t="n">
        <x:v>3.44</x:v>
      </x:c>
    </x:row>
    <x:row r="18" ht="15" customHeight="1">
      <x:c r="A18" s="62" t="str">
        <x:v>RM-017</x:v>
      </x:c>
      <x:c r="B18" s="62" t="str">
        <x:v>Pigment 017</x:v>
      </x:c>
      <x:c r="C18" s="62" t="str">
        <x:v>Pigment</x:v>
      </x:c>
      <x:c r="D18" s="62" t="str">
        <x:v>EA</x:v>
      </x:c>
      <x:c r="E18" s="62" t="n">
        <x:v>7965</x:v>
      </x:c>
      <x:c r="F18" s="62" t="n">
        <x:v>678</x:v>
      </x:c>
      <x:c r="G18" s="62" t="n">
        <x:v>21</x:v>
      </x:c>
      <x:c r="H18" s="65" t="n">
        <x:v>5.94</x:v>
      </x:c>
    </x:row>
    <x:row r="19" ht="15" customHeight="1">
      <x:c r="A19" s="62" t="str">
        <x:v>RM-018</x:v>
      </x:c>
      <x:c r="B19" s="62" t="str">
        <x:v>Filler 018</x:v>
      </x:c>
      <x:c r="C19" s="62" t="str">
        <x:v>Filler</x:v>
      </x:c>
      <x:c r="D19" s="62" t="str">
        <x:v>GAL</x:v>
      </x:c>
      <x:c r="E19" s="62" t="n">
        <x:v>17607</x:v>
      </x:c>
      <x:c r="F19" s="62" t="n">
        <x:v>302</x:v>
      </x:c>
      <x:c r="G19" s="62" t="n">
        <x:v>14</x:v>
      </x:c>
      <x:c r="H19" s="65" t="n">
        <x:v>8</x:v>
      </x:c>
    </x:row>
    <x:row r="20" ht="15" customHeight="1">
      <x:c r="A20" s="62" t="str">
        <x:v>RM-019</x:v>
      </x:c>
      <x:c r="B20" s="62" t="str">
        <x:v>Additive 019</x:v>
      </x:c>
      <x:c r="C20" s="62" t="str">
        <x:v>Additive</x:v>
      </x:c>
      <x:c r="D20" s="62" t="str">
        <x:v>EA</x:v>
      </x:c>
      <x:c r="E20" s="62" t="n">
        <x:v>6552</x:v>
      </x:c>
      <x:c r="F20" s="62" t="n">
        <x:v>1079</x:v>
      </x:c>
      <x:c r="G20" s="62" t="n">
        <x:v>14</x:v>
      </x:c>
      <x:c r="H20" s="65" t="n">
        <x:v>5.55</x:v>
      </x:c>
    </x:row>
    <x:row r="21" ht="15" customHeight="1">
      <x:c r="A21" s="62" t="str">
        <x:v>RM-020</x:v>
      </x:c>
      <x:c r="B21" s="62" t="str">
        <x:v>Packaging 020</x:v>
      </x:c>
      <x:c r="C21" s="62" t="str">
        <x:v>Packaging</x:v>
      </x:c>
      <x:c r="D21" s="62" t="str">
        <x:v>LB</x:v>
      </x:c>
      <x:c r="E21" s="62" t="n">
        <x:v>10528</x:v>
      </x:c>
      <x:c r="F21" s="62" t="n">
        <x:v>881</x:v>
      </x:c>
      <x:c r="G21" s="62" t="n">
        <x:v>21</x:v>
      </x:c>
      <x:c r="H21" s="65" t="n">
        <x:v>5.69</x:v>
      </x:c>
    </x:row>
    <x:row r="22" ht="15" customHeight="1">
      <x:c r="A22" s="62" t="str">
        <x:v>RM-021</x:v>
      </x:c>
      <x:c r="B22" s="62" t="str">
        <x:v>Resin 021</x:v>
      </x:c>
      <x:c r="C22" s="62" t="str">
        <x:v>Resin</x:v>
      </x:c>
      <x:c r="D22" s="62" t="str">
        <x:v>GAL</x:v>
      </x:c>
      <x:c r="E22" s="62" t="n">
        <x:v>8041</x:v>
      </x:c>
      <x:c r="F22" s="62" t="n">
        <x:v>264</x:v>
      </x:c>
      <x:c r="G22" s="62" t="n">
        <x:v>28</x:v>
      </x:c>
      <x:c r="H22" s="65" t="n">
        <x:v>5.12</x:v>
      </x:c>
    </x:row>
    <x:row r="23" ht="15" customHeight="1">
      <x:c r="A23" s="62" t="str">
        <x:v>RM-022</x:v>
      </x:c>
      <x:c r="B23" s="62" t="str">
        <x:v>Pigment 022</x:v>
      </x:c>
      <x:c r="C23" s="62" t="str">
        <x:v>Pigment</x:v>
      </x:c>
      <x:c r="D23" s="62" t="str">
        <x:v>LB</x:v>
      </x:c>
      <x:c r="E23" s="62" t="n">
        <x:v>12228</x:v>
      </x:c>
      <x:c r="F23" s="62" t="n">
        <x:v>411</x:v>
      </x:c>
      <x:c r="G23" s="62" t="n">
        <x:v>42</x:v>
      </x:c>
      <x:c r="H23" s="65" t="n">
        <x:v>5.79</x:v>
      </x:c>
    </x:row>
    <x:row r="24" ht="15" customHeight="1">
      <x:c r="A24" s="62" t="str">
        <x:v>RM-023</x:v>
      </x:c>
      <x:c r="B24" s="62" t="str">
        <x:v>Filler 023</x:v>
      </x:c>
      <x:c r="C24" s="62" t="str">
        <x:v>Filler</x:v>
      </x:c>
      <x:c r="D24" s="62" t="str">
        <x:v>EA</x:v>
      </x:c>
      <x:c r="E24" s="62" t="n">
        <x:v>3401</x:v>
      </x:c>
      <x:c r="F24" s="62" t="n">
        <x:v>418</x:v>
      </x:c>
      <x:c r="G24" s="62" t="n">
        <x:v>14</x:v>
      </x:c>
      <x:c r="H24" s="65" t="n">
        <x:v>8.29</x:v>
      </x:c>
    </x:row>
    <x:row r="25" ht="15" customHeight="1">
      <x:c r="A25" s="62" t="str">
        <x:v>RM-024</x:v>
      </x:c>
      <x:c r="B25" s="62" t="str">
        <x:v>Additive 024</x:v>
      </x:c>
      <x:c r="C25" s="62" t="str">
        <x:v>Additive</x:v>
      </x:c>
      <x:c r="D25" s="62" t="str">
        <x:v>GAL</x:v>
      </x:c>
      <x:c r="E25" s="62" t="n">
        <x:v>542</x:v>
      </x:c>
      <x:c r="F25" s="62" t="n">
        <x:v>1356</x:v>
      </x:c>
      <x:c r="G25" s="62" t="n">
        <x:v>35</x:v>
      </x:c>
      <x:c r="H25" s="65" t="n">
        <x:v>1.22</x:v>
      </x:c>
    </x:row>
    <x:row r="26" ht="15" customHeight="1">
      <x:c r="A26" s="62" t="str">
        <x:v>RM-025</x:v>
      </x:c>
      <x:c r="B26" s="62" t="str">
        <x:v>Packaging 025</x:v>
      </x:c>
      <x:c r="C26" s="62" t="str">
        <x:v>Packaging</x:v>
      </x:c>
      <x:c r="D26" s="62" t="str">
        <x:v>EA</x:v>
      </x:c>
      <x:c r="E26" s="62" t="n">
        <x:v>2469</x:v>
      </x:c>
      <x:c r="F26" s="62" t="n">
        <x:v>229</x:v>
      </x:c>
      <x:c r="G26" s="62" t="n">
        <x:v>14</x:v>
      </x:c>
      <x:c r="H26" s="65" t="n">
        <x:v>6.47</x:v>
      </x:c>
    </x:row>
    <x:row r="27" ht="15" customHeight="1">
      <x:c r="A27" s="62" t="str">
        <x:v>RM-026</x:v>
      </x:c>
      <x:c r="B27" s="62" t="str">
        <x:v>Resin 026</x:v>
      </x:c>
      <x:c r="C27" s="62" t="str">
        <x:v>Resin</x:v>
      </x:c>
      <x:c r="D27" s="62" t="str">
        <x:v>LB</x:v>
      </x:c>
      <x:c r="E27" s="62" t="n">
        <x:v>1771</x:v>
      </x:c>
      <x:c r="F27" s="62" t="n">
        <x:v>1475</x:v>
      </x:c>
      <x:c r="G27" s="62" t="n">
        <x:v>21</x:v>
      </x:c>
      <x:c r="H27" s="65" t="n">
        <x:v>6.08</x:v>
      </x:c>
    </x:row>
    <x:row r="28" ht="15" customHeight="1">
      <x:c r="A28" s="62" t="str">
        <x:v>RM-027</x:v>
      </x:c>
      <x:c r="B28" s="62" t="str">
        <x:v>Pigment 027</x:v>
      </x:c>
      <x:c r="C28" s="62" t="str">
        <x:v>Pigment</x:v>
      </x:c>
      <x:c r="D28" s="62" t="str">
        <x:v>GAL</x:v>
      </x:c>
      <x:c r="E28" s="62" t="n">
        <x:v>5600</x:v>
      </x:c>
      <x:c r="F28" s="62" t="n">
        <x:v>267</x:v>
      </x:c>
      <x:c r="G28" s="62" t="n">
        <x:v>42</x:v>
      </x:c>
      <x:c r="H28" s="65" t="n">
        <x:v>6.04</x:v>
      </x:c>
    </x:row>
    <x:row r="29" ht="15" customHeight="1">
      <x:c r="A29" s="62" t="str">
        <x:v>RM-028</x:v>
      </x:c>
      <x:c r="B29" s="62" t="str">
        <x:v>Filler 028</x:v>
      </x:c>
      <x:c r="C29" s="62" t="str">
        <x:v>Filler</x:v>
      </x:c>
      <x:c r="D29" s="62" t="str">
        <x:v>EA</x:v>
      </x:c>
      <x:c r="E29" s="62" t="n">
        <x:v>14836</x:v>
      </x:c>
      <x:c r="F29" s="62" t="n">
        <x:v>1498</x:v>
      </x:c>
      <x:c r="G29" s="62" t="n">
        <x:v>35</x:v>
      </x:c>
      <x:c r="H29" s="65" t="n">
        <x:v>8.01</x:v>
      </x:c>
    </x:row>
    <x:row r="30" ht="15" customHeight="1">
      <x:c r="A30" s="62" t="str">
        <x:v>RM-029</x:v>
      </x:c>
      <x:c r="B30" s="62" t="str">
        <x:v>Additive 029</x:v>
      </x:c>
      <x:c r="C30" s="62" t="str">
        <x:v>Additive</x:v>
      </x:c>
      <x:c r="D30" s="62" t="str">
        <x:v>EA</x:v>
      </x:c>
      <x:c r="E30" s="62" t="n">
        <x:v>1338</x:v>
      </x:c>
      <x:c r="F30" s="62" t="n">
        <x:v>878</x:v>
      </x:c>
      <x:c r="G30" s="62" t="n">
        <x:v>21</x:v>
      </x:c>
      <x:c r="H30" s="65" t="n">
        <x:v>4.82</x:v>
      </x:c>
    </x:row>
    <x:row r="31" ht="15" customHeight="1">
      <x:c r="A31" s="62" t="str">
        <x:v>RM-030</x:v>
      </x:c>
      <x:c r="B31" s="62" t="str">
        <x:v>Packaging 030</x:v>
      </x:c>
      <x:c r="C31" s="62" t="str">
        <x:v>Packaging</x:v>
      </x:c>
      <x:c r="D31" s="62" t="str">
        <x:v>EA</x:v>
      </x:c>
      <x:c r="E31" s="62" t="n">
        <x:v>9755</x:v>
      </x:c>
      <x:c r="F31" s="62" t="n">
        <x:v>696</x:v>
      </x:c>
      <x:c r="G31" s="62" t="n">
        <x:v>42</x:v>
      </x:c>
      <x:c r="H31" s="65" t="n">
        <x:v>2.66</x:v>
      </x:c>
    </x:row>
    <x:row r="32" ht="15" customHeight="1">
      <x:c r="A32" s="62" t="str">
        <x:v>RM-031</x:v>
      </x:c>
      <x:c r="B32" s="62" t="str">
        <x:v>Resin 031</x:v>
      </x:c>
      <x:c r="C32" s="62" t="str">
        <x:v>Resin</x:v>
      </x:c>
      <x:c r="D32" s="62" t="str">
        <x:v>EA</x:v>
      </x:c>
      <x:c r="E32" s="62" t="n">
        <x:v>6087</x:v>
      </x:c>
      <x:c r="F32" s="62" t="n">
        <x:v>714</x:v>
      </x:c>
      <x:c r="G32" s="62" t="n">
        <x:v>35</x:v>
      </x:c>
      <x:c r="H32" s="65" t="n">
        <x:v>2.16</x:v>
      </x:c>
    </x:row>
    <x:row r="33" ht="15" customHeight="1">
      <x:c r="A33" s="62" t="str">
        <x:v>RM-032</x:v>
      </x:c>
      <x:c r="B33" s="62" t="str">
        <x:v>Pigment 032</x:v>
      </x:c>
      <x:c r="C33" s="62" t="str">
        <x:v>Pigment</x:v>
      </x:c>
      <x:c r="D33" s="62" t="str">
        <x:v>EA</x:v>
      </x:c>
      <x:c r="E33" s="62" t="n">
        <x:v>674</x:v>
      </x:c>
      <x:c r="F33" s="62" t="n">
        <x:v>1056</x:v>
      </x:c>
      <x:c r="G33" s="62" t="n">
        <x:v>21</x:v>
      </x:c>
      <x:c r="H33" s="65" t="n">
        <x:v>8.4</x:v>
      </x:c>
    </x:row>
    <x:row r="34" ht="15" customHeight="1">
      <x:c r="A34" s="62" t="str">
        <x:v>RM-033</x:v>
      </x:c>
      <x:c r="B34" s="62" t="str">
        <x:v>Filler 033</x:v>
      </x:c>
      <x:c r="C34" s="62" t="str">
        <x:v>Filler</x:v>
      </x:c>
      <x:c r="D34" s="62" t="str">
        <x:v>GAL</x:v>
      </x:c>
      <x:c r="E34" s="62" t="n">
        <x:v>4157</x:v>
      </x:c>
      <x:c r="F34" s="62" t="n">
        <x:v>1030</x:v>
      </x:c>
      <x:c r="G34" s="62" t="n">
        <x:v>21</x:v>
      </x:c>
      <x:c r="H34" s="65" t="n">
        <x:v>8.04</x:v>
      </x:c>
    </x:row>
    <x:row r="35" ht="15" customHeight="1">
      <x:c r="A35" s="62" t="str">
        <x:v>RM-034</x:v>
      </x:c>
      <x:c r="B35" s="62" t="str">
        <x:v>Additive 034</x:v>
      </x:c>
      <x:c r="C35" s="62" t="str">
        <x:v>Additive</x:v>
      </x:c>
      <x:c r="D35" s="62" t="str">
        <x:v>EA</x:v>
      </x:c>
      <x:c r="E35" s="62" t="n">
        <x:v>1971</x:v>
      </x:c>
      <x:c r="F35" s="62" t="n">
        <x:v>1061</x:v>
      </x:c>
      <x:c r="G35" s="62" t="n">
        <x:v>35</x:v>
      </x:c>
      <x:c r="H35" s="65" t="n">
        <x:v>6.77</x:v>
      </x:c>
    </x:row>
    <x:row r="36" ht="15" customHeight="1">
      <x:c r="A36" s="62" t="str">
        <x:v>RM-035</x:v>
      </x:c>
      <x:c r="B36" s="62" t="str">
        <x:v>Packaging 035</x:v>
      </x:c>
      <x:c r="C36" s="62" t="str">
        <x:v>Packaging</x:v>
      </x:c>
      <x:c r="D36" s="62" t="str">
        <x:v>GAL</x:v>
      </x:c>
      <x:c r="E36" s="62" t="n">
        <x:v>8691</x:v>
      </x:c>
      <x:c r="F36" s="62" t="n">
        <x:v>505</x:v>
      </x:c>
      <x:c r="G36" s="62" t="n">
        <x:v>14</x:v>
      </x:c>
      <x:c r="H36" s="65" t="n">
        <x:v>2.78</x:v>
      </x:c>
    </x:row>
    <x:row r="37" ht="15" customHeight="1">
      <x:c r="A37" s="62" t="str">
        <x:v>RM-036</x:v>
      </x:c>
      <x:c r="B37" s="62" t="str">
        <x:v>Resin 036</x:v>
      </x:c>
      <x:c r="C37" s="62" t="str">
        <x:v>Resin</x:v>
      </x:c>
      <x:c r="D37" s="62" t="str">
        <x:v>EA</x:v>
      </x:c>
      <x:c r="E37" s="62" t="n">
        <x:v>12427</x:v>
      </x:c>
      <x:c r="F37" s="62" t="n">
        <x:v>1016</x:v>
      </x:c>
      <x:c r="G37" s="62" t="n">
        <x:v>42</x:v>
      </x:c>
      <x:c r="H37" s="65" t="n">
        <x:v>3.77</x:v>
      </x:c>
    </x:row>
    <x:row r="38" ht="15" customHeight="1">
      <x:c r="A38" s="62" t="str">
        <x:v>RM-037</x:v>
      </x:c>
      <x:c r="B38" s="62" t="str">
        <x:v>Pigment 037</x:v>
      </x:c>
      <x:c r="C38" s="62" t="str">
        <x:v>Pigment</x:v>
      </x:c>
      <x:c r="D38" s="62" t="str">
        <x:v>GAL</x:v>
      </x:c>
      <x:c r="E38" s="62" t="n">
        <x:v>14210</x:v>
      </x:c>
      <x:c r="F38" s="62" t="n">
        <x:v>850</x:v>
      </x:c>
      <x:c r="G38" s="62" t="n">
        <x:v>14</x:v>
      </x:c>
      <x:c r="H38" s="65" t="n">
        <x:v>5.62</x:v>
      </x:c>
    </x:row>
    <x:row r="39" ht="15" customHeight="1">
      <x:c r="A39" s="62" t="str">
        <x:v>RM-038</x:v>
      </x:c>
      <x:c r="B39" s="62" t="str">
        <x:v>Filler 038</x:v>
      </x:c>
      <x:c r="C39" s="62" t="str">
        <x:v>Filler</x:v>
      </x:c>
      <x:c r="D39" s="62" t="str">
        <x:v>LB</x:v>
      </x:c>
      <x:c r="E39" s="62" t="n">
        <x:v>10042</x:v>
      </x:c>
      <x:c r="F39" s="62" t="n">
        <x:v>1452</x:v>
      </x:c>
      <x:c r="G39" s="62" t="n">
        <x:v>28</x:v>
      </x:c>
      <x:c r="H39" s="65" t="n">
        <x:v>1.83</x:v>
      </x:c>
    </x:row>
    <x:row r="40" ht="15" customHeight="1">
      <x:c r="A40" s="62" t="str">
        <x:v>RM-039</x:v>
      </x:c>
      <x:c r="B40" s="62" t="str">
        <x:v>Additive 039</x:v>
      </x:c>
      <x:c r="C40" s="62" t="str">
        <x:v>Additive</x:v>
      </x:c>
      <x:c r="D40" s="62" t="str">
        <x:v>LB</x:v>
      </x:c>
      <x:c r="E40" s="62" t="n">
        <x:v>15593</x:v>
      </x:c>
      <x:c r="F40" s="62" t="n">
        <x:v>1243</x:v>
      </x:c>
      <x:c r="G40" s="62" t="n">
        <x:v>21</x:v>
      </x:c>
      <x:c r="H40" s="65" t="n">
        <x:v>2.08</x:v>
      </x:c>
    </x:row>
    <x:row r="41" ht="15" customHeight="1">
      <x:c r="A41" s="62" t="str">
        <x:v>RM-040</x:v>
      </x:c>
      <x:c r="B41" s="62" t="str">
        <x:v>Packaging 040</x:v>
      </x:c>
      <x:c r="C41" s="62" t="str">
        <x:v>Packaging</x:v>
      </x:c>
      <x:c r="D41" s="62" t="str">
        <x:v>EA</x:v>
      </x:c>
      <x:c r="E41" s="62" t="n">
        <x:v>875</x:v>
      </x:c>
      <x:c r="F41" s="62" t="n">
        <x:v>347</x:v>
      </x:c>
      <x:c r="G41" s="62" t="n">
        <x:v>21</x:v>
      </x:c>
      <x:c r="H41" s="65" t="n">
        <x:v>1.19</x:v>
      </x:c>
    </x:row>
    <x:row r="42" ht="15" customHeight="1">
      <x:c r="A42" s="62" t="str">
        <x:v>RM-041</x:v>
      </x:c>
      <x:c r="B42" s="62" t="str">
        <x:v>Resin 041</x:v>
      </x:c>
      <x:c r="C42" s="62" t="str">
        <x:v>Resin</x:v>
      </x:c>
      <x:c r="D42" s="62" t="str">
        <x:v>LB</x:v>
      </x:c>
      <x:c r="E42" s="62" t="n">
        <x:v>4635</x:v>
      </x:c>
      <x:c r="F42" s="62" t="n">
        <x:v>987</x:v>
      </x:c>
      <x:c r="G42" s="62" t="n">
        <x:v>35</x:v>
      </x:c>
      <x:c r="H42" s="65" t="n">
        <x:v>7.91</x:v>
      </x:c>
    </x:row>
    <x:row r="43" ht="15" customHeight="1">
      <x:c r="A43" s="62" t="str">
        <x:v>RM-042</x:v>
      </x:c>
      <x:c r="B43" s="62" t="str">
        <x:v>Pigment 042</x:v>
      </x:c>
      <x:c r="C43" s="62" t="str">
        <x:v>Pigment</x:v>
      </x:c>
      <x:c r="D43" s="62" t="str">
        <x:v>LB</x:v>
      </x:c>
      <x:c r="E43" s="62" t="n">
        <x:v>14280</x:v>
      </x:c>
      <x:c r="F43" s="62" t="n">
        <x:v>553</x:v>
      </x:c>
      <x:c r="G43" s="62" t="n">
        <x:v>14</x:v>
      </x:c>
      <x:c r="H43" s="65" t="n">
        <x:v>1.93</x:v>
      </x:c>
    </x:row>
    <x:row r="44" ht="15" customHeight="1">
      <x:c r="A44" s="62" t="str">
        <x:v>RM-043</x:v>
      </x:c>
      <x:c r="B44" s="62" t="str">
        <x:v>Filler 043</x:v>
      </x:c>
      <x:c r="C44" s="62" t="str">
        <x:v>Filler</x:v>
      </x:c>
      <x:c r="D44" s="62" t="str">
        <x:v>LB</x:v>
      </x:c>
      <x:c r="E44" s="62" t="n">
        <x:v>9111</x:v>
      </x:c>
      <x:c r="F44" s="62" t="n">
        <x:v>457</x:v>
      </x:c>
      <x:c r="G44" s="62" t="n">
        <x:v>14</x:v>
      </x:c>
      <x:c r="H44" s="65" t="n">
        <x:v>6.18</x:v>
      </x:c>
    </x:row>
    <x:row r="45" ht="15" customHeight="1">
      <x:c r="A45" s="62" t="str">
        <x:v>RM-044</x:v>
      </x:c>
      <x:c r="B45" s="62" t="str">
        <x:v>Additive 044</x:v>
      </x:c>
      <x:c r="C45" s="62" t="str">
        <x:v>Additive</x:v>
      </x:c>
      <x:c r="D45" s="62" t="str">
        <x:v>LB</x:v>
      </x:c>
      <x:c r="E45" s="62" t="n">
        <x:v>10361</x:v>
      </x:c>
      <x:c r="F45" s="62" t="n">
        <x:v>571</x:v>
      </x:c>
      <x:c r="G45" s="62" t="n">
        <x:v>42</x:v>
      </x:c>
      <x:c r="H45" s="65" t="n">
        <x:v>8.39</x:v>
      </x:c>
    </x:row>
    <x:row r="46" ht="15" customHeight="1">
      <x:c r="A46" s="62" t="str">
        <x:v>RM-045</x:v>
      </x:c>
      <x:c r="B46" s="62" t="str">
        <x:v>Packaging 045</x:v>
      </x:c>
      <x:c r="C46" s="62" t="str">
        <x:v>Packaging</x:v>
      </x:c>
      <x:c r="D46" s="62" t="str">
        <x:v>EA</x:v>
      </x:c>
      <x:c r="E46" s="62" t="n">
        <x:v>16745</x:v>
      </x:c>
      <x:c r="F46" s="62" t="n">
        <x:v>634</x:v>
      </x:c>
      <x:c r="G46" s="62" t="n">
        <x:v>28</x:v>
      </x:c>
      <x:c r="H46" s="65" t="n">
        <x:v>7.94</x:v>
      </x:c>
    </x:row>
    <x:row r="47" ht="15" customHeight="1">
      <x:c r="A47" s="62" t="str">
        <x:v>RM-046</x:v>
      </x:c>
      <x:c r="B47" s="62" t="str">
        <x:v>Resin 046</x:v>
      </x:c>
      <x:c r="C47" s="62" t="str">
        <x:v>Resin</x:v>
      </x:c>
      <x:c r="D47" s="62" t="str">
        <x:v>GAL</x:v>
      </x:c>
      <x:c r="E47" s="62" t="n">
        <x:v>15936</x:v>
      </x:c>
      <x:c r="F47" s="62" t="n">
        <x:v>991</x:v>
      </x:c>
      <x:c r="G47" s="62" t="n">
        <x:v>42</x:v>
      </x:c>
      <x:c r="H47" s="65" t="n">
        <x:v>2.81</x:v>
      </x:c>
    </x:row>
    <x:row r="48" ht="15" customHeight="1">
      <x:c r="A48" s="62" t="str">
        <x:v>RM-047</x:v>
      </x:c>
      <x:c r="B48" s="62" t="str">
        <x:v>Pigment 047</x:v>
      </x:c>
      <x:c r="C48" s="62" t="str">
        <x:v>Pigment</x:v>
      </x:c>
      <x:c r="D48" s="62" t="str">
        <x:v>GAL</x:v>
      </x:c>
      <x:c r="E48" s="62" t="n">
        <x:v>4384</x:v>
      </x:c>
      <x:c r="F48" s="62" t="n">
        <x:v>1229</x:v>
      </x:c>
      <x:c r="G48" s="62" t="n">
        <x:v>21</x:v>
      </x:c>
      <x:c r="H48" s="65" t="n">
        <x:v>1.25</x:v>
      </x:c>
    </x:row>
    <x:row r="49" ht="15" customHeight="1">
      <x:c r="A49" s="62" t="str">
        <x:v>RM-048</x:v>
      </x:c>
      <x:c r="B49" s="62" t="str">
        <x:v>Filler 048</x:v>
      </x:c>
      <x:c r="C49" s="62" t="str">
        <x:v>Filler</x:v>
      </x:c>
      <x:c r="D49" s="62" t="str">
        <x:v>GAL</x:v>
      </x:c>
      <x:c r="E49" s="62" t="n">
        <x:v>637</x:v>
      </x:c>
      <x:c r="F49" s="62" t="n">
        <x:v>888</x:v>
      </x:c>
      <x:c r="G49" s="62" t="n">
        <x:v>42</x:v>
      </x:c>
      <x:c r="H49" s="65" t="n">
        <x:v>7.48</x:v>
      </x:c>
    </x:row>
    <x:row r="50" ht="15" customHeight="1">
      <x:c r="A50" s="62" t="str">
        <x:v>RM-049</x:v>
      </x:c>
      <x:c r="B50" s="62" t="str">
        <x:v>Additive 049</x:v>
      </x:c>
      <x:c r="C50" s="62" t="str">
        <x:v>Additive</x:v>
      </x:c>
      <x:c r="D50" s="62" t="str">
        <x:v>EA</x:v>
      </x:c>
      <x:c r="E50" s="62" t="n">
        <x:v>1792</x:v>
      </x:c>
      <x:c r="F50" s="62" t="n">
        <x:v>912</x:v>
      </x:c>
      <x:c r="G50" s="62" t="n">
        <x:v>21</x:v>
      </x:c>
      <x:c r="H50" s="65" t="n">
        <x:v>7.73</x:v>
      </x:c>
    </x:row>
    <x:row r="51" ht="15" customHeight="1">
      <x:c r="A51" s="62" t="str">
        <x:v>RM-050</x:v>
      </x:c>
      <x:c r="B51" s="62" t="str">
        <x:v>Packaging 050</x:v>
      </x:c>
      <x:c r="C51" s="62" t="str">
        <x:v>Packaging</x:v>
      </x:c>
      <x:c r="D51" s="62" t="str">
        <x:v>GAL</x:v>
      </x:c>
      <x:c r="E51" s="62" t="n">
        <x:v>5370</x:v>
      </x:c>
      <x:c r="F51" s="62" t="n">
        <x:v>1210</x:v>
      </x:c>
      <x:c r="G51" s="62" t="n">
        <x:v>14</x:v>
      </x:c>
      <x:c r="H51" s="65" t="n">
        <x:v>6.67</x:v>
      </x:c>
    </x:row>
    <x:row r="52" ht="15" customHeight="1">
      <x:c r="A52" s="62" t="str">
        <x:v>RM-051</x:v>
      </x:c>
      <x:c r="B52" s="62" t="str">
        <x:v>Resin 051</x:v>
      </x:c>
      <x:c r="C52" s="62" t="str">
        <x:v>Resin</x:v>
      </x:c>
      <x:c r="D52" s="62" t="str">
        <x:v>GAL</x:v>
      </x:c>
      <x:c r="E52" s="62" t="n">
        <x:v>5180</x:v>
      </x:c>
      <x:c r="F52" s="62" t="n">
        <x:v>261</x:v>
      </x:c>
      <x:c r="G52" s="62" t="n">
        <x:v>14</x:v>
      </x:c>
      <x:c r="H52" s="65" t="n">
        <x:v>8.48</x:v>
      </x:c>
    </x:row>
    <x:row r="53" ht="15" customHeight="1">
      <x:c r="A53" s="62" t="str">
        <x:v>RM-052</x:v>
      </x:c>
      <x:c r="B53" s="62" t="str">
        <x:v>Pigment 052</x:v>
      </x:c>
      <x:c r="C53" s="62" t="str">
        <x:v>Pigment</x:v>
      </x:c>
      <x:c r="D53" s="62" t="str">
        <x:v>EA</x:v>
      </x:c>
      <x:c r="E53" s="62" t="n">
        <x:v>6374</x:v>
      </x:c>
      <x:c r="F53" s="62" t="n">
        <x:v>949</x:v>
      </x:c>
      <x:c r="G53" s="62" t="n">
        <x:v>42</x:v>
      </x:c>
      <x:c r="H53" s="65" t="n">
        <x:v>6.91</x:v>
      </x:c>
    </x:row>
    <x:row r="54" ht="15" customHeight="1">
      <x:c r="A54" s="62" t="str">
        <x:v>RM-053</x:v>
      </x:c>
      <x:c r="B54" s="62" t="str">
        <x:v>Filler 053</x:v>
      </x:c>
      <x:c r="C54" s="62" t="str">
        <x:v>Filler</x:v>
      </x:c>
      <x:c r="D54" s="62" t="str">
        <x:v>EA</x:v>
      </x:c>
      <x:c r="E54" s="62" t="n">
        <x:v>3714</x:v>
      </x:c>
      <x:c r="F54" s="62" t="n">
        <x:v>773</x:v>
      </x:c>
      <x:c r="G54" s="62" t="n">
        <x:v>35</x:v>
      </x:c>
      <x:c r="H54" s="65" t="n">
        <x:v>4.38</x:v>
      </x:c>
    </x:row>
    <x:row r="55" ht="15" customHeight="1">
      <x:c r="A55" s="62" t="str">
        <x:v>RM-054</x:v>
      </x:c>
      <x:c r="B55" s="62" t="str">
        <x:v>Additive 054</x:v>
      </x:c>
      <x:c r="C55" s="62" t="str">
        <x:v>Additive</x:v>
      </x:c>
      <x:c r="D55" s="62" t="str">
        <x:v>LB</x:v>
      </x:c>
      <x:c r="E55" s="62" t="n">
        <x:v>15751</x:v>
      </x:c>
      <x:c r="F55" s="62" t="n">
        <x:v>1392</x:v>
      </x:c>
      <x:c r="G55" s="62" t="n">
        <x:v>35</x:v>
      </x:c>
      <x:c r="H55" s="65" t="n">
        <x:v>6.39</x:v>
      </x:c>
    </x:row>
    <x:row r="56" ht="15" customHeight="1">
      <x:c r="A56" s="62" t="str">
        <x:v>RM-055</x:v>
      </x:c>
      <x:c r="B56" s="62" t="str">
        <x:v>Packaging 055</x:v>
      </x:c>
      <x:c r="C56" s="62" t="str">
        <x:v>Packaging</x:v>
      </x:c>
      <x:c r="D56" s="62" t="str">
        <x:v>GAL</x:v>
      </x:c>
      <x:c r="E56" s="62" t="n">
        <x:v>6551</x:v>
      </x:c>
      <x:c r="F56" s="62" t="n">
        <x:v>738</x:v>
      </x:c>
      <x:c r="G56" s="62" t="n">
        <x:v>42</x:v>
      </x:c>
      <x:c r="H56" s="65" t="n">
        <x:v>3.94</x:v>
      </x:c>
    </x:row>
    <x:row r="57" ht="15" customHeight="1">
      <x:c r="A57" s="62" t="str">
        <x:v>RM-056</x:v>
      </x:c>
      <x:c r="B57" s="62" t="str">
        <x:v>Resin 056</x:v>
      </x:c>
      <x:c r="C57" s="62" t="str">
        <x:v>Resin</x:v>
      </x:c>
      <x:c r="D57" s="62" t="str">
        <x:v>EA</x:v>
      </x:c>
      <x:c r="E57" s="62" t="n">
        <x:v>862</x:v>
      </x:c>
      <x:c r="F57" s="62" t="n">
        <x:v>108</x:v>
      </x:c>
      <x:c r="G57" s="62" t="n">
        <x:v>21</x:v>
      </x:c>
      <x:c r="H57" s="65" t="n">
        <x:v>0.63</x:v>
      </x:c>
    </x:row>
    <x:row r="58" ht="15" customHeight="1">
      <x:c r="A58" s="62" t="str">
        <x:v>RM-057</x:v>
      </x:c>
      <x:c r="B58" s="62" t="str">
        <x:v>Pigment 057</x:v>
      </x:c>
      <x:c r="C58" s="62" t="str">
        <x:v>Pigment</x:v>
      </x:c>
      <x:c r="D58" s="62" t="str">
        <x:v>EA</x:v>
      </x:c>
      <x:c r="E58" s="62" t="n">
        <x:v>5779</x:v>
      </x:c>
      <x:c r="F58" s="62" t="n">
        <x:v>1148</x:v>
      </x:c>
      <x:c r="G58" s="62" t="n">
        <x:v>35</x:v>
      </x:c>
      <x:c r="H58" s="65" t="n">
        <x:v>6.56</x:v>
      </x:c>
    </x:row>
    <x:row r="59" ht="15" customHeight="1">
      <x:c r="A59" s="62" t="str">
        <x:v>RM-058</x:v>
      </x:c>
      <x:c r="B59" s="62" t="str">
        <x:v>Filler 058</x:v>
      </x:c>
      <x:c r="C59" s="62" t="str">
        <x:v>Filler</x:v>
      </x:c>
      <x:c r="D59" s="62" t="str">
        <x:v>LB</x:v>
      </x:c>
      <x:c r="E59" s="62" t="n">
        <x:v>9929</x:v>
      </x:c>
      <x:c r="F59" s="62" t="n">
        <x:v>701</x:v>
      </x:c>
      <x:c r="G59" s="62" t="n">
        <x:v>14</x:v>
      </x:c>
      <x:c r="H59" s="65" t="n">
        <x:v>6.08</x:v>
      </x:c>
    </x:row>
    <x:row r="60" ht="15" customHeight="1">
      <x:c r="A60" s="62" t="str">
        <x:v>RM-059</x:v>
      </x:c>
      <x:c r="B60" s="62" t="str">
        <x:v>Additive 059</x:v>
      </x:c>
      <x:c r="C60" s="62" t="str">
        <x:v>Additive</x:v>
      </x:c>
      <x:c r="D60" s="62" t="str">
        <x:v>GAL</x:v>
      </x:c>
      <x:c r="E60" s="62" t="n">
        <x:v>10488</x:v>
      </x:c>
      <x:c r="F60" s="62" t="n">
        <x:v>1442</x:v>
      </x:c>
      <x:c r="G60" s="62" t="n">
        <x:v>35</x:v>
      </x:c>
      <x:c r="H60" s="65" t="n">
        <x:v>6.07</x:v>
      </x:c>
    </x:row>
    <x:row r="61" ht="15" customHeight="1">
      <x:c r="A61" s="62" t="str">
        <x:v>RM-060</x:v>
      </x:c>
      <x:c r="B61" s="62" t="str">
        <x:v>Packaging 060</x:v>
      </x:c>
      <x:c r="C61" s="62" t="str">
        <x:v>Packaging</x:v>
      </x:c>
      <x:c r="D61" s="62" t="str">
        <x:v>LB</x:v>
      </x:c>
      <x:c r="E61" s="62" t="n">
        <x:v>17534</x:v>
      </x:c>
      <x:c r="F61" s="62" t="n">
        <x:v>189</x:v>
      </x:c>
      <x:c r="G61" s="62" t="n">
        <x:v>28</x:v>
      </x:c>
      <x:c r="H61" s="65" t="n">
        <x:v>4.11</x:v>
      </x:c>
    </x:row>
    <x:row r="62" ht="15" customHeight="1">
      <x:c r="A62" s="62" t="str">
        <x:v>RM-061</x:v>
      </x:c>
      <x:c r="B62" s="62" t="str">
        <x:v>Resin 061</x:v>
      </x:c>
      <x:c r="C62" s="62" t="str">
        <x:v>Resin</x:v>
      </x:c>
      <x:c r="D62" s="62" t="str">
        <x:v>EA</x:v>
      </x:c>
      <x:c r="E62" s="62" t="n">
        <x:v>16149</x:v>
      </x:c>
      <x:c r="F62" s="62" t="n">
        <x:v>521</x:v>
      </x:c>
      <x:c r="G62" s="62" t="n">
        <x:v>14</x:v>
      </x:c>
      <x:c r="H62" s="65" t="n">
        <x:v>8</x:v>
      </x:c>
    </x:row>
    <x:row r="63" ht="15" customHeight="1">
      <x:c r="A63" s="62" t="str">
        <x:v>RM-062</x:v>
      </x:c>
      <x:c r="B63" s="62" t="str">
        <x:v>Pigment 062</x:v>
      </x:c>
      <x:c r="C63" s="62" t="str">
        <x:v>Pigment</x:v>
      </x:c>
      <x:c r="D63" s="62" t="str">
        <x:v>GAL</x:v>
      </x:c>
      <x:c r="E63" s="62" t="n">
        <x:v>7110</x:v>
      </x:c>
      <x:c r="F63" s="62" t="n">
        <x:v>1339</x:v>
      </x:c>
      <x:c r="G63" s="62" t="n">
        <x:v>42</x:v>
      </x:c>
      <x:c r="H63" s="65" t="n">
        <x:v>7.5</x:v>
      </x:c>
    </x:row>
    <x:row r="64" ht="15" customHeight="1">
      <x:c r="A64" s="62" t="str">
        <x:v>RM-063</x:v>
      </x:c>
      <x:c r="B64" s="62" t="str">
        <x:v>Filler 063</x:v>
      </x:c>
      <x:c r="C64" s="62" t="str">
        <x:v>Filler</x:v>
      </x:c>
      <x:c r="D64" s="62" t="str">
        <x:v>LB</x:v>
      </x:c>
      <x:c r="E64" s="62" t="n">
        <x:v>7508</x:v>
      </x:c>
      <x:c r="F64" s="62" t="n">
        <x:v>1090</x:v>
      </x:c>
      <x:c r="G64" s="62" t="n">
        <x:v>42</x:v>
      </x:c>
      <x:c r="H64" s="65" t="n">
        <x:v>2.58</x:v>
      </x:c>
    </x:row>
    <x:row r="65" ht="15" customHeight="1">
      <x:c r="A65" s="62" t="str">
        <x:v>RM-064</x:v>
      </x:c>
      <x:c r="B65" s="62" t="str">
        <x:v>Additive 064</x:v>
      </x:c>
      <x:c r="C65" s="62" t="str">
        <x:v>Additive</x:v>
      </x:c>
      <x:c r="D65" s="62" t="str">
        <x:v>GAL</x:v>
      </x:c>
      <x:c r="E65" s="62" t="n">
        <x:v>299</x:v>
      </x:c>
      <x:c r="F65" s="62" t="n">
        <x:v>1464</x:v>
      </x:c>
      <x:c r="G65" s="62" t="n">
        <x:v>42</x:v>
      </x:c>
      <x:c r="H65" s="65" t="n">
        <x:v>2.26</x:v>
      </x:c>
    </x:row>
    <x:row r="66" ht="15" customHeight="1">
      <x:c r="A66" s="62" t="str">
        <x:v>RM-065</x:v>
      </x:c>
      <x:c r="B66" s="62" t="str">
        <x:v>Packaging 065</x:v>
      </x:c>
      <x:c r="C66" s="62" t="str">
        <x:v>Packaging</x:v>
      </x:c>
      <x:c r="D66" s="62" t="str">
        <x:v>LB</x:v>
      </x:c>
      <x:c r="E66" s="62" t="n">
        <x:v>9289</x:v>
      </x:c>
      <x:c r="F66" s="62" t="n">
        <x:v>282</x:v>
      </x:c>
      <x:c r="G66" s="62" t="n">
        <x:v>21</x:v>
      </x:c>
      <x:c r="H66" s="65" t="n">
        <x:v>7.78</x:v>
      </x:c>
    </x:row>
    <x:row r="67" ht="15" customHeight="1">
      <x:c r="A67" s="62" t="str">
        <x:v>RM-066</x:v>
      </x:c>
      <x:c r="B67" s="62" t="str">
        <x:v>Resin 066</x:v>
      </x:c>
      <x:c r="C67" s="62" t="str">
        <x:v>Resin</x:v>
      </x:c>
      <x:c r="D67" s="62" t="str">
        <x:v>LB</x:v>
      </x:c>
      <x:c r="E67" s="62" t="n">
        <x:v>10876</x:v>
      </x:c>
      <x:c r="F67" s="62" t="n">
        <x:v>567</x:v>
      </x:c>
      <x:c r="G67" s="62" t="n">
        <x:v>21</x:v>
      </x:c>
      <x:c r="H67" s="65" t="n">
        <x:v>8.78</x:v>
      </x:c>
    </x:row>
    <x:row r="68" ht="15" customHeight="1">
      <x:c r="A68" s="62" t="str">
        <x:v>RM-067</x:v>
      </x:c>
      <x:c r="B68" s="62" t="str">
        <x:v>Pigment 067</x:v>
      </x:c>
      <x:c r="C68" s="62" t="str">
        <x:v>Pigment</x:v>
      </x:c>
      <x:c r="D68" s="62" t="str">
        <x:v>EA</x:v>
      </x:c>
      <x:c r="E68" s="62" t="n">
        <x:v>10786</x:v>
      </x:c>
      <x:c r="F68" s="62" t="n">
        <x:v>335</x:v>
      </x:c>
      <x:c r="G68" s="62" t="n">
        <x:v>21</x:v>
      </x:c>
      <x:c r="H68" s="65" t="n">
        <x:v>7.88</x:v>
      </x:c>
    </x:row>
    <x:row r="69" ht="15" customHeight="1">
      <x:c r="A69" s="62" t="str">
        <x:v>RM-068</x:v>
      </x:c>
      <x:c r="B69" s="62" t="str">
        <x:v>Filler 068</x:v>
      </x:c>
      <x:c r="C69" s="62" t="str">
        <x:v>Filler</x:v>
      </x:c>
      <x:c r="D69" s="62" t="str">
        <x:v>GAL</x:v>
      </x:c>
      <x:c r="E69" s="62" t="n">
        <x:v>14253</x:v>
      </x:c>
      <x:c r="F69" s="62" t="n">
        <x:v>1138</x:v>
      </x:c>
      <x:c r="G69" s="62" t="n">
        <x:v>42</x:v>
      </x:c>
      <x:c r="H69" s="65" t="n">
        <x:v>0.95</x:v>
      </x:c>
    </x:row>
    <x:row r="70" ht="15" customHeight="1">
      <x:c r="A70" s="62" t="str">
        <x:v>RM-069</x:v>
      </x:c>
      <x:c r="B70" s="62" t="str">
        <x:v>Additive 069</x:v>
      </x:c>
      <x:c r="C70" s="62" t="str">
        <x:v>Additive</x:v>
      </x:c>
      <x:c r="D70" s="62" t="str">
        <x:v>GAL</x:v>
      </x:c>
      <x:c r="E70" s="62" t="n">
        <x:v>2870</x:v>
      </x:c>
      <x:c r="F70" s="62" t="n">
        <x:v>986</x:v>
      </x:c>
      <x:c r="G70" s="62" t="n">
        <x:v>35</x:v>
      </x:c>
      <x:c r="H70" s="65" t="n">
        <x:v>7.82</x:v>
      </x:c>
    </x:row>
    <x:row r="71" ht="15" customHeight="1">
      <x:c r="A71" s="62" t="str">
        <x:v>RM-070</x:v>
      </x:c>
      <x:c r="B71" s="62" t="str">
        <x:v>Packaging 070</x:v>
      </x:c>
      <x:c r="C71" s="62" t="str">
        <x:v>Packaging</x:v>
      </x:c>
      <x:c r="D71" s="62" t="str">
        <x:v>EA</x:v>
      </x:c>
      <x:c r="E71" s="62" t="n">
        <x:v>5189</x:v>
      </x:c>
      <x:c r="F71" s="62" t="n">
        <x:v>587</x:v>
      </x:c>
      <x:c r="G71" s="62" t="n">
        <x:v>35</x:v>
      </x:c>
      <x:c r="H71" s="65" t="n">
        <x:v>5.43</x:v>
      </x:c>
    </x:row>
  </x:sheetData>
  <x:pageMargins left="0.7" right="0.7" top="0.75" bottom="0.75" header="0.3" footer="0.3"/>
  <x:tableParts count="1">
    <x:tablePart xmlns:r="http://schemas.openxmlformats.org/officeDocument/2006/relationships" r:id="Rb0aeda62b2d449ee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.779999732971191" hidden="0" customWidth="1"/>
    <x:col min="2" max="2" width="9.109999656677246" hidden="0" customWidth="1"/>
    <x:col min="3" max="3" width="18.889999389648438" hidden="0" customWidth="1"/>
    <x:col min="4" max="4" width="9.4399995803833" hidden="0" customWidth="1"/>
    <x:col min="5" max="5" width="10.5600004196167" hidden="0" customWidth="1"/>
    <x:col min="6" max="6" width="14.439999580383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</x:cols>
  <x:sheetData>
    <x:row r="1" ht="27" customHeight="1">
      <x:c r="A1" s="60" t="str">
        <x:v>PO</x:v>
      </x:c>
      <x:c r="B1" s="61" t="str">
        <x:v>Item</x:v>
      </x:c>
      <x:c r="C1" s="61" t="str">
        <x:v>Description</x:v>
      </x:c>
      <x:c r="D1" s="61" t="str">
        <x:v>Open Qty</x:v>
      </x:c>
      <x:c r="E1" s="61" t="str">
        <x:v>Expected Date</x:v>
      </x:c>
      <x:c r="F1" s="61" t="str">
        <x:v>Supplier</x:v>
      </x:c>
    </x:row>
    <x:row r="2" ht="15" customHeight="1">
      <x:c r="A2" s="62" t="str">
        <x:v>PO-4801</x:v>
      </x:c>
      <x:c r="B2" s="62" t="str">
        <x:v>RM-057</x:v>
      </x:c>
      <x:c r="C2" s="62" t="str">
        <x:v>Pigment 057</x:v>
      </x:c>
      <x:c r="D2" s="62" t="n">
        <x:v>2500</x:v>
      </x:c>
      <x:c r="E2" s="63" t="n">
        <x:v>46275</x:v>
      </x:c>
      <x:c r="F2" s="62" t="str">
        <x:v>Sample Supplier A</x:v>
      </x:c>
    </x:row>
    <x:row r="3" ht="15" customHeight="1">
      <x:c r="A3" s="62" t="str">
        <x:v>PO-4802</x:v>
      </x:c>
      <x:c r="B3" s="62" t="str">
        <x:v>RM-020</x:v>
      </x:c>
      <x:c r="C3" s="62" t="str">
        <x:v>Packaging 020</x:v>
      </x:c>
      <x:c r="D3" s="62" t="n">
        <x:v>2500</x:v>
      </x:c>
      <x:c r="E3" s="63" t="n">
        <x:v>46264</x:v>
      </x:c>
      <x:c r="F3" s="62" t="str">
        <x:v>Sample Supplier A</x:v>
      </x:c>
    </x:row>
    <x:row r="4" ht="15" customHeight="1">
      <x:c r="A4" s="62" t="str">
        <x:v>PO-4803</x:v>
      </x:c>
      <x:c r="B4" s="62" t="str">
        <x:v>RM-025</x:v>
      </x:c>
      <x:c r="C4" s="62" t="str">
        <x:v>Packaging 025</x:v>
      </x:c>
      <x:c r="D4" s="62" t="n">
        <x:v>10000</x:v>
      </x:c>
      <x:c r="E4" s="63" t="n">
        <x:v>46273</x:v>
      </x:c>
      <x:c r="F4" s="62" t="str">
        <x:v>Sample Supplier B</x:v>
      </x:c>
    </x:row>
    <x:row r="5" ht="15" customHeight="1">
      <x:c r="A5" s="62" t="str">
        <x:v>PO-4804</x:v>
      </x:c>
      <x:c r="B5" s="62" t="str">
        <x:v>RM-063</x:v>
      </x:c>
      <x:c r="C5" s="62" t="str">
        <x:v>Filler 063</x:v>
      </x:c>
      <x:c r="D5" s="62" t="n">
        <x:v>5000</x:v>
      </x:c>
      <x:c r="E5" s="63" t="n">
        <x:v>46258</x:v>
      </x:c>
      <x:c r="F5" s="62" t="str">
        <x:v>Sample Supplier A</x:v>
      </x:c>
    </x:row>
    <x:row r="6" ht="15" customHeight="1">
      <x:c r="A6" s="62" t="str">
        <x:v>PO-4805</x:v>
      </x:c>
      <x:c r="B6" s="62" t="str">
        <x:v>RM-015</x:v>
      </x:c>
      <x:c r="C6" s="62" t="str">
        <x:v>Packaging 015</x:v>
      </x:c>
      <x:c r="D6" s="62" t="n">
        <x:v>10000</x:v>
      </x:c>
      <x:c r="E6" s="63" t="n">
        <x:v>46275</x:v>
      </x:c>
      <x:c r="F6" s="62" t="str">
        <x:v>Sample Supplier C</x:v>
      </x:c>
    </x:row>
    <x:row r="7" ht="15" customHeight="1">
      <x:c r="A7" s="62" t="str">
        <x:v>PO-4806</x:v>
      </x:c>
      <x:c r="B7" s="62" t="str">
        <x:v>RM-030</x:v>
      </x:c>
      <x:c r="C7" s="62" t="str">
        <x:v>Packaging 030</x:v>
      </x:c>
      <x:c r="D7" s="62" t="n">
        <x:v>2500</x:v>
      </x:c>
      <x:c r="E7" s="63" t="n">
        <x:v>46264</x:v>
      </x:c>
      <x:c r="F7" s="62" t="str">
        <x:v>Sample Supplier A</x:v>
      </x:c>
    </x:row>
    <x:row r="8" ht="15" customHeight="1">
      <x:c r="A8" s="62" t="str">
        <x:v>PO-4807</x:v>
      </x:c>
      <x:c r="B8" s="62" t="str">
        <x:v>RM-052</x:v>
      </x:c>
      <x:c r="C8" s="62" t="str">
        <x:v>Pigment 052</x:v>
      </x:c>
      <x:c r="D8" s="62" t="n">
        <x:v>1000</x:v>
      </x:c>
      <x:c r="E8" s="63" t="n">
        <x:v>46272</x:v>
      </x:c>
      <x:c r="F8" s="62" t="str">
        <x:v>Sample Supplier A</x:v>
      </x:c>
    </x:row>
    <x:row r="9" ht="15" customHeight="1">
      <x:c r="A9" s="62" t="str">
        <x:v>PO-4808</x:v>
      </x:c>
      <x:c r="B9" s="62" t="str">
        <x:v>RM-062</x:v>
      </x:c>
      <x:c r="C9" s="62" t="str">
        <x:v>Pigment 062</x:v>
      </x:c>
      <x:c r="D9" s="62" t="n">
        <x:v>1000</x:v>
      </x:c>
      <x:c r="E9" s="63" t="n">
        <x:v>46283</x:v>
      </x:c>
      <x:c r="F9" s="62" t="str">
        <x:v>Sample Supplier C</x:v>
      </x:c>
    </x:row>
    <x:row r="10" ht="15" customHeight="1">
      <x:c r="A10" s="62" t="str">
        <x:v>PO-4809</x:v>
      </x:c>
      <x:c r="B10" s="62" t="str">
        <x:v>RM-064</x:v>
      </x:c>
      <x:c r="C10" s="62" t="str">
        <x:v>Additive 064</x:v>
      </x:c>
      <x:c r="D10" s="62" t="n">
        <x:v>1000</x:v>
      </x:c>
      <x:c r="E10" s="63" t="n">
        <x:v>46272</x:v>
      </x:c>
      <x:c r="F10" s="62" t="str">
        <x:v>Sample Supplier A</x:v>
      </x:c>
    </x:row>
    <x:row r="11" ht="15" customHeight="1">
      <x:c r="A11" s="62" t="str">
        <x:v>PO-4810</x:v>
      </x:c>
      <x:c r="B11" s="62" t="str">
        <x:v>RM-007</x:v>
      </x:c>
      <x:c r="C11" s="62" t="str">
        <x:v>Pigment 007</x:v>
      </x:c>
      <x:c r="D11" s="62" t="n">
        <x:v>2500</x:v>
      </x:c>
      <x:c r="E11" s="63" t="n">
        <x:v>46282</x:v>
      </x:c>
      <x:c r="F11" s="62" t="str">
        <x:v>Sample Supplier C</x:v>
      </x:c>
    </x:row>
    <x:row r="12" ht="15" customHeight="1">
      <x:c r="A12" s="62" t="str">
        <x:v>PO-4811</x:v>
      </x:c>
      <x:c r="B12" s="62" t="str">
        <x:v>RM-028</x:v>
      </x:c>
      <x:c r="C12" s="62" t="str">
        <x:v>Filler 028</x:v>
      </x:c>
      <x:c r="D12" s="62" t="n">
        <x:v>1000</x:v>
      </x:c>
      <x:c r="E12" s="63" t="n">
        <x:v>46272</x:v>
      </x:c>
      <x:c r="F12" s="62" t="str">
        <x:v>Sample Supplier A</x:v>
      </x:c>
    </x:row>
    <x:row r="13" ht="15" customHeight="1">
      <x:c r="A13" s="62" t="str">
        <x:v>PO-4812</x:v>
      </x:c>
      <x:c r="B13" s="62" t="str">
        <x:v>RM-065</x:v>
      </x:c>
      <x:c r="C13" s="62" t="str">
        <x:v>Packaging 065</x:v>
      </x:c>
      <x:c r="D13" s="62" t="n">
        <x:v>2500</x:v>
      </x:c>
      <x:c r="E13" s="63" t="n">
        <x:v>46288</x:v>
      </x:c>
      <x:c r="F13" s="62" t="str">
        <x:v>Sample Supplier B</x:v>
      </x:c>
    </x:row>
    <x:row r="14" ht="15" customHeight="1">
      <x:c r="A14" s="62" t="str">
        <x:v>PO-4813</x:v>
      </x:c>
      <x:c r="B14" s="62" t="str">
        <x:v>RM-037</x:v>
      </x:c>
      <x:c r="C14" s="62" t="str">
        <x:v>Pigment 037</x:v>
      </x:c>
      <x:c r="D14" s="62" t="n">
        <x:v>2500</x:v>
      </x:c>
      <x:c r="E14" s="63" t="n">
        <x:v>46273</x:v>
      </x:c>
      <x:c r="F14" s="62" t="str">
        <x:v>Sample Supplier C</x:v>
      </x:c>
    </x:row>
    <x:row r="15" ht="15" customHeight="1">
      <x:c r="A15" s="62" t="str">
        <x:v>PO-4814</x:v>
      </x:c>
      <x:c r="B15" s="62" t="str">
        <x:v>RM-059</x:v>
      </x:c>
      <x:c r="C15" s="62" t="str">
        <x:v>Additive 059</x:v>
      </x:c>
      <x:c r="D15" s="62" t="n">
        <x:v>5000</x:v>
      </x:c>
      <x:c r="E15" s="63" t="n">
        <x:v>46286</x:v>
      </x:c>
      <x:c r="F15" s="62" t="str">
        <x:v>Sample Supplier D</x:v>
      </x:c>
    </x:row>
    <x:row r="16" ht="15" customHeight="1">
      <x:c r="A16" s="62" t="str">
        <x:v>PO-4815</x:v>
      </x:c>
      <x:c r="B16" s="62" t="str">
        <x:v>RM-050</x:v>
      </x:c>
      <x:c r="C16" s="62" t="str">
        <x:v>Packaging 050</x:v>
      </x:c>
      <x:c r="D16" s="62" t="n">
        <x:v>2500</x:v>
      </x:c>
      <x:c r="E16" s="63" t="n">
        <x:v>46283</x:v>
      </x:c>
      <x:c r="F16" s="62" t="str">
        <x:v>Sample Supplier C</x:v>
      </x:c>
    </x:row>
    <x:row r="17" ht="15" customHeight="1">
      <x:c r="A17" s="62" t="str">
        <x:v>PO-4816</x:v>
      </x:c>
      <x:c r="B17" s="62" t="str">
        <x:v>RM-033</x:v>
      </x:c>
      <x:c r="C17" s="62" t="str">
        <x:v>Filler 033</x:v>
      </x:c>
      <x:c r="D17" s="62" t="n">
        <x:v>5000</x:v>
      </x:c>
      <x:c r="E17" s="63" t="n">
        <x:v>46284</x:v>
      </x:c>
      <x:c r="F17" s="62" t="str">
        <x:v>Sample Supplier A</x:v>
      </x:c>
    </x:row>
    <x:row r="18" ht="15" customHeight="1">
      <x:c r="A18" s="62" t="str">
        <x:v>PO-4817</x:v>
      </x:c>
      <x:c r="B18" s="62" t="str">
        <x:v>RM-038</x:v>
      </x:c>
      <x:c r="C18" s="62" t="str">
        <x:v>Filler 038</x:v>
      </x:c>
      <x:c r="D18" s="62" t="n">
        <x:v>10000</x:v>
      </x:c>
      <x:c r="E18" s="63" t="n">
        <x:v>46270</x:v>
      </x:c>
      <x:c r="F18" s="62" t="str">
        <x:v>Sample Supplier D</x:v>
      </x:c>
    </x:row>
    <x:row r="19" ht="15" customHeight="1">
      <x:c r="A19" s="62" t="str">
        <x:v>PO-4818</x:v>
      </x:c>
      <x:c r="B19" s="62" t="str">
        <x:v>RM-019</x:v>
      </x:c>
      <x:c r="C19" s="62" t="str">
        <x:v>Additive 019</x:v>
      </x:c>
      <x:c r="D19" s="62" t="n">
        <x:v>1000</x:v>
      </x:c>
      <x:c r="E19" s="63" t="n">
        <x:v>46287</x:v>
      </x:c>
      <x:c r="F19" s="62" t="str">
        <x:v>Sample Supplier D</x:v>
      </x:c>
    </x:row>
    <x:row r="20" ht="15" customHeight="1">
      <x:c r="A20" s="62" t="str">
        <x:v>PO-4819</x:v>
      </x:c>
      <x:c r="B20" s="62" t="str">
        <x:v>RM-060</x:v>
      </x:c>
      <x:c r="C20" s="62" t="str">
        <x:v>Packaging 060</x:v>
      </x:c>
      <x:c r="D20" s="62" t="n">
        <x:v>5000</x:v>
      </x:c>
      <x:c r="E20" s="63" t="n">
        <x:v>46259</x:v>
      </x:c>
      <x:c r="F20" s="62" t="str">
        <x:v>Sample Supplier C</x:v>
      </x:c>
    </x:row>
    <x:row r="21" ht="15" customHeight="1">
      <x:c r="A21" s="62" t="str">
        <x:v>PO-4820</x:v>
      </x:c>
      <x:c r="B21" s="62" t="str">
        <x:v>RM-036</x:v>
      </x:c>
      <x:c r="C21" s="62" t="str">
        <x:v>Resin 036</x:v>
      </x:c>
      <x:c r="D21" s="62" t="n">
        <x:v>1000</x:v>
      </x:c>
      <x:c r="E21" s="63" t="n">
        <x:v>46259</x:v>
      </x:c>
      <x:c r="F21" s="62" t="str">
        <x:v>Sample Supplier A</x:v>
      </x:c>
    </x:row>
    <x:row r="22" ht="15" customHeight="1">
      <x:c r="A22" s="62" t="str">
        <x:v>PO-4821</x:v>
      </x:c>
      <x:c r="B22" s="62" t="str">
        <x:v>RM-055</x:v>
      </x:c>
      <x:c r="C22" s="62" t="str">
        <x:v>Packaging 055</x:v>
      </x:c>
      <x:c r="D22" s="62" t="n">
        <x:v>5000</x:v>
      </x:c>
      <x:c r="E22" s="63" t="n">
        <x:v>46263</x:v>
      </x:c>
      <x:c r="F22" s="62" t="str">
        <x:v>Sample Supplier B</x:v>
      </x:c>
    </x:row>
    <x:row r="23" ht="15" customHeight="1">
      <x:c r="A23" s="62" t="str">
        <x:v>PO-4822</x:v>
      </x:c>
      <x:c r="B23" s="62" t="str">
        <x:v>RM-048</x:v>
      </x:c>
      <x:c r="C23" s="62" t="str">
        <x:v>Filler 048</x:v>
      </x:c>
      <x:c r="D23" s="62" t="n">
        <x:v>1000</x:v>
      </x:c>
      <x:c r="E23" s="63" t="n">
        <x:v>46266</x:v>
      </x:c>
      <x:c r="F23" s="62" t="str">
        <x:v>Sample Supplier D</x:v>
      </x:c>
    </x:row>
    <x:row r="24" ht="15" customHeight="1">
      <x:c r="A24" s="62" t="str">
        <x:v>PO-4823</x:v>
      </x:c>
      <x:c r="B24" s="62" t="str">
        <x:v>RM-051</x:v>
      </x:c>
      <x:c r="C24" s="62" t="str">
        <x:v>Resin 051</x:v>
      </x:c>
      <x:c r="D24" s="62" t="n">
        <x:v>2500</x:v>
      </x:c>
      <x:c r="E24" s="63" t="n">
        <x:v>46282</x:v>
      </x:c>
      <x:c r="F24" s="62" t="str">
        <x:v>Sample Supplier A</x:v>
      </x:c>
    </x:row>
    <x:row r="25" ht="15" customHeight="1">
      <x:c r="A25" s="62" t="str">
        <x:v>PO-4824</x:v>
      </x:c>
      <x:c r="B25" s="62" t="str">
        <x:v>RM-032</x:v>
      </x:c>
      <x:c r="C25" s="62" t="str">
        <x:v>Pigment 032</x:v>
      </x:c>
      <x:c r="D25" s="62" t="n">
        <x:v>2500</x:v>
      </x:c>
      <x:c r="E25" s="63" t="n">
        <x:v>46281</x:v>
      </x:c>
      <x:c r="F25" s="62" t="str">
        <x:v>Sample Supplier D</x:v>
      </x:c>
    </x:row>
    <x:row r="26" ht="15" customHeight="1">
      <x:c r="A26" s="62" t="str">
        <x:v>PO-4825</x:v>
      </x:c>
      <x:c r="B26" s="62" t="str">
        <x:v>RM-018</x:v>
      </x:c>
      <x:c r="C26" s="62" t="str">
        <x:v>Filler 018</x:v>
      </x:c>
      <x:c r="D26" s="62" t="n">
        <x:v>10000</x:v>
      </x:c>
      <x:c r="E26" s="63" t="n">
        <x:v>46271</x:v>
      </x:c>
      <x:c r="F26" s="62" t="str">
        <x:v>Sample Supplier D</x:v>
      </x:c>
    </x:row>
  </x:sheetData>
  <x:pageMargins left="0.7" right="0.7" top="0.75" bottom="0.75" header="0.3" footer="0.3"/>
  <x:tableParts count="1">
    <x:tablePart xmlns:r="http://schemas.openxmlformats.org/officeDocument/2006/relationships" r:id="Ref4488a4d19f447e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.220000267028809" hidden="0" customWidth="1"/>
    <x:col min="2" max="2" width="13.890000343322754" hidden="0" customWidth="1"/>
    <x:col min="3" max="3" width="8.670000076293945" hidden="0" customWidth="1"/>
    <x:col min="4" max="4" width="18.889999389648438" hidden="0" customWidth="1"/>
    <x:col min="5" max="5" width="8.670000076293945" hidden="0" customWidth="1"/>
    <x:col min="6" max="6" width="10.220000267028809" hidden="0" customWidth="1"/>
    <x:col min="7" max="7" width="8.220000267028809" hidden="0" customWidth="1"/>
    <x:col min="8" max="8" width="8.890000343322754" hidden="0" customWidth="1"/>
    <x:col min="9" max="9" width="7.21999979019165" hidden="0" customWidth="1"/>
    <x:col min="10" max="10" width="11.109999656677246" hidden="0" customWidth="1"/>
    <x:col min="11" max="11" width="10.220000267028809" hidden="0" customWidth="1"/>
    <x:col min="12" max="12" width="14.4399995803833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</x:cols>
  <x:sheetData>
    <x:row r="1" ht="27" customHeight="1">
      <x:c r="A1" s="60" t="str">
        <x:v>Sales Order</x:v>
      </x:c>
      <x:c r="B1" s="61" t="str">
        <x:v>Customer</x:v>
      </x:c>
      <x:c r="C1" s="61" t="str">
        <x:v>FG Item</x:v>
      </x:c>
      <x:c r="D1" s="61" t="str">
        <x:v>Description</x:v>
      </x:c>
      <x:c r="E1" s="61" t="str">
        <x:v>Order Qty</x:v>
      </x:c>
      <x:c r="F1" s="61" t="str">
        <x:v>Due Date</x:v>
      </x:c>
      <x:c r="G1" s="61" t="str">
        <x:v>Priority</x:v>
      </x:c>
      <x:c r="H1" s="61" t="str">
        <x:v>Batch Size</x:v>
      </x:c>
      <x:c r="I1" s="61" t="str">
        <x:v>Batches</x:v>
      </x:c>
      <x:c r="J1" s="61" t="str">
        <x:v>Material Status</x:v>
      </x:c>
      <x:c r="K1" s="61" t="str">
        <x:v>Days Until Due</x:v>
      </x:c>
      <x:c r="L1" s="61" t="str">
        <x:v>Planning Status</x:v>
      </x:c>
    </x:row>
    <x:row r="2" ht="15" customHeight="1">
      <x:c r="A2" s="71" t="str">
        <x:v>SO-26082</x:v>
      </x:c>
      <x:c r="B2" s="71" t="str">
        <x:v>Sample Customer B</x:v>
      </x:c>
      <x:c r="C2" s="71" t="str">
        <x:v>FG-003</x:v>
      </x:c>
      <x:c r="D2" s="71" t="str">
        <x:v>Guard Tan Product</x:v>
      </x:c>
      <x:c r="E2" s="72" t="n">
        <x:v>20</x:v>
      </x:c>
      <x:c r="F2" s="72" t="n">
        <x:v>46255</x:v>
      </x:c>
      <x:c r="G2" s="72" t="str">
        <x:v>High</x:v>
      </x:c>
      <x:c r="H2" s="72" t="n">
        <x:f>'README'!$B$13</x:f>
        <x:v>250</x:v>
      </x:c>
      <x:c r="I2" s="72" t="n">
        <x:f>CEILING(E2/H2,1)</x:f>
        <x:v>1</x:v>
      </x:c>
      <x:c r="J2" s="71" t="str">
        <x:f>IF(COUNTIFS('Material_Requirements'!$A$2:$A$626,A2,'Material_Requirements'!$P$2:$P$626,"SHORT")&gt;0,"AT RISK",IF(COUNTIFS('Material_Requirements'!$A$2:$A$626,A2,'Material_Requirements'!$P$2:$P$626,"BELOW TARGET")&gt;0,"WATCH","READY"))</x:f>
        <x:v>AT RISK</x:v>
      </x:c>
      <x:c r="K2" s="71" t="n">
        <x:f>F2-'README'!$B$14</x:f>
        <x:v>1</x:v>
      </x:c>
      <x:c r="L2" s="71" t="str">
        <x:f>IF(J2="AT RISK","EXPEDITE MATERIAL",IF(J2="WATCH","REVIEW COVERAGE",IF(K2&lt;=7,"SCHEDULE NOW",IF(K2&lt;=14,"NEXT UP","FUTURE"))))</x:f>
        <x:v>EXPEDITE MATERIAL</x:v>
      </x:c>
    </x:row>
    <x:row r="3" ht="15" customHeight="1">
      <x:c r="A3" s="71" t="str">
        <x:v>SO-26037</x:v>
      </x:c>
      <x:c r="B3" s="71" t="str">
        <x:v>Sample Customer C</x:v>
      </x:c>
      <x:c r="C3" s="71" t="str">
        <x:v>FG-009</x:v>
      </x:c>
      <x:c r="D3" s="71" t="str">
        <x:v>Shield Tan Product</x:v>
      </x:c>
      <x:c r="E3" s="72" t="n">
        <x:v>40</x:v>
      </x:c>
      <x:c r="F3" s="72" t="n">
        <x:v>46256</x:v>
      </x:c>
      <x:c r="G3" s="72" t="str">
        <x:v>Normal</x:v>
      </x:c>
      <x:c r="H3" s="72" t="n">
        <x:f>'README'!$B$13</x:f>
        <x:v>250</x:v>
      </x:c>
      <x:c r="I3" s="72" t="n">
        <x:f>CEILING(E3/H3,1)</x:f>
        <x:v>1</x:v>
      </x:c>
      <x:c r="J3" s="71" t="str">
        <x:f>IF(COUNTIFS('Material_Requirements'!$A$2:$A$626,A3,'Material_Requirements'!$P$2:$P$626,"SHORT")&gt;0,"AT RISK",IF(COUNTIFS('Material_Requirements'!$A$2:$A$626,A3,'Material_Requirements'!$P$2:$P$626,"BELOW TARGET")&gt;0,"WATCH","READY"))</x:f>
        <x:v>AT RISK</x:v>
      </x:c>
      <x:c r="K3" s="71" t="n">
        <x:f>F3-'README'!$B$14</x:f>
        <x:v>2</x:v>
      </x:c>
      <x:c r="L3" s="71" t="str">
        <x:f>IF(J3="AT RISK","EXPEDITE MATERIAL",IF(J3="WATCH","REVIEW COVERAGE",IF(K3&lt;=7,"SCHEDULE NOW",IF(K3&lt;=14,"NEXT UP","FUTURE"))))</x:f>
        <x:v>EXPEDITE MATERIAL</x:v>
      </x:c>
    </x:row>
    <x:row r="4" ht="15" customHeight="1">
      <x:c r="A4" s="71" t="str">
        <x:v>SO-26043</x:v>
      </x:c>
      <x:c r="B4" s="71" t="str">
        <x:v>Sample Customer A</x:v>
      </x:c>
      <x:c r="C4" s="71" t="str">
        <x:v>FG-024</x:v>
      </x:c>
      <x:c r="D4" s="71" t="str">
        <x:v>Prime Red Product</x:v>
      </x:c>
      <x:c r="E4" s="72" t="n">
        <x:v>10</x:v>
      </x:c>
      <x:c r="F4" s="72" t="n">
        <x:v>46257</x:v>
      </x:c>
      <x:c r="G4" s="72" t="str">
        <x:v>Normal</x:v>
      </x:c>
      <x:c r="H4" s="72" t="n">
        <x:f>'README'!$B$13</x:f>
        <x:v>250</x:v>
      </x:c>
      <x:c r="I4" s="72" t="n">
        <x:f>CEILING(E4/H4,1)</x:f>
        <x:v>1</x:v>
      </x:c>
      <x:c r="J4" s="71" t="str">
        <x:f>IF(COUNTIFS('Material_Requirements'!$A$2:$A$626,A4,'Material_Requirements'!$P$2:$P$626,"SHORT")&gt;0,"AT RISK",IF(COUNTIFS('Material_Requirements'!$A$2:$A$626,A4,'Material_Requirements'!$P$2:$P$626,"BELOW TARGET")&gt;0,"WATCH","READY"))</x:f>
        <x:v>READY</x:v>
      </x:c>
      <x:c r="K4" s="71" t="n">
        <x:f>F4-'README'!$B$14</x:f>
        <x:v>3</x:v>
      </x:c>
      <x:c r="L4" s="71" t="str">
        <x:f>IF(J4="AT RISK","EXPEDITE MATERIAL",IF(J4="WATCH","REVIEW COVERAGE",IF(K4&lt;=7,"SCHEDULE NOW",IF(K4&lt;=14,"NEXT UP","FUTURE"))))</x:f>
        <x:v>SCHEDULE NOW</x:v>
      </x:c>
    </x:row>
    <x:row r="5" ht="15" customHeight="1">
      <x:c r="A5" s="71" t="str">
        <x:v>SO-26083</x:v>
      </x:c>
      <x:c r="B5" s="71" t="str">
        <x:v>Sample Customer D</x:v>
      </x:c>
      <x:c r="C5" s="71" t="str">
        <x:v>FG-021</x:v>
      </x:c>
      <x:c r="D5" s="71" t="str">
        <x:v>Shield Tan Product</x:v>
      </x:c>
      <x:c r="E5" s="72" t="n">
        <x:v>100</x:v>
      </x:c>
      <x:c r="F5" s="72" t="n">
        <x:v>46257</x:v>
      </x:c>
      <x:c r="G5" s="72" t="str">
        <x:v>Normal</x:v>
      </x:c>
      <x:c r="H5" s="72" t="n">
        <x:f>'README'!$B$13</x:f>
        <x:v>250</x:v>
      </x:c>
      <x:c r="I5" s="72" t="n">
        <x:f>CEILING(E5/H5,1)</x:f>
        <x:v>1</x:v>
      </x:c>
      <x:c r="J5" s="71" t="str">
        <x:f>IF(COUNTIFS('Material_Requirements'!$A$2:$A$626,A5,'Material_Requirements'!$P$2:$P$626,"SHORT")&gt;0,"AT RISK",IF(COUNTIFS('Material_Requirements'!$A$2:$A$626,A5,'Material_Requirements'!$P$2:$P$626,"BELOW TARGET")&gt;0,"WATCH","READY"))</x:f>
        <x:v>AT RISK</x:v>
      </x:c>
      <x:c r="K5" s="71" t="n">
        <x:f>F5-'README'!$B$14</x:f>
        <x:v>3</x:v>
      </x:c>
      <x:c r="L5" s="71" t="str">
        <x:f>IF(J5="AT RISK","EXPEDITE MATERIAL",IF(J5="WATCH","REVIEW COVERAGE",IF(K5&lt;=7,"SCHEDULE NOW",IF(K5&lt;=14,"NEXT UP","FUTURE"))))</x:f>
        <x:v>EXPEDITE MATERIAL</x:v>
      </x:c>
    </x:row>
    <x:row r="6" ht="15" customHeight="1">
      <x:c r="A6" s="71" t="str">
        <x:v>SO-26029</x:v>
      </x:c>
      <x:c r="B6" s="71" t="str">
        <x:v>Sample Customer A</x:v>
      </x:c>
      <x:c r="C6" s="71" t="str">
        <x:v>FG-013</x:v>
      </x:c>
      <x:c r="D6" s="71" t="str">
        <x:v>Shield White Product</x:v>
      </x:c>
      <x:c r="E6" s="72" t="n">
        <x:v>100</x:v>
      </x:c>
      <x:c r="F6" s="72" t="n">
        <x:v>46258</x:v>
      </x:c>
      <x:c r="G6" s="72" t="str">
        <x:v>High</x:v>
      </x:c>
      <x:c r="H6" s="72" t="n">
        <x:f>'README'!$B$13</x:f>
        <x:v>250</x:v>
      </x:c>
      <x:c r="I6" s="72" t="n">
        <x:f>CEILING(E6/H6,1)</x:f>
        <x:v>1</x:v>
      </x:c>
      <x:c r="J6" s="71" t="str">
        <x:f>IF(COUNTIFS('Material_Requirements'!$A$2:$A$626,A6,'Material_Requirements'!$P$2:$P$626,"SHORT")&gt;0,"AT RISK",IF(COUNTIFS('Material_Requirements'!$A$2:$A$626,A6,'Material_Requirements'!$P$2:$P$626,"BELOW TARGET")&gt;0,"WATCH","READY"))</x:f>
        <x:v>AT RISK</x:v>
      </x:c>
      <x:c r="K6" s="71" t="n">
        <x:f>F6-'README'!$B$14</x:f>
        <x:v>4</x:v>
      </x:c>
      <x:c r="L6" s="71" t="str">
        <x:f>IF(J6="AT RISK","EXPEDITE MATERIAL",IF(J6="WATCH","REVIEW COVERAGE",IF(K6&lt;=7,"SCHEDULE NOW",IF(K6&lt;=14,"NEXT UP","FUTURE"))))</x:f>
        <x:v>EXPEDITE MATERIAL</x:v>
      </x:c>
    </x:row>
    <x:row r="7" ht="15" customHeight="1">
      <x:c r="A7" s="71" t="str">
        <x:v>SO-26055</x:v>
      </x:c>
      <x:c r="B7" s="71" t="str">
        <x:v>Sample Customer E</x:v>
      </x:c>
      <x:c r="C7" s="71" t="str">
        <x:v>FG-018</x:v>
      </x:c>
      <x:c r="D7" s="71" t="str">
        <x:v>Flex Red Product</x:v>
      </x:c>
      <x:c r="E7" s="72" t="n">
        <x:v>100</x:v>
      </x:c>
      <x:c r="F7" s="72" t="n">
        <x:v>46258</x:v>
      </x:c>
      <x:c r="G7" s="72" t="str">
        <x:v>High</x:v>
      </x:c>
      <x:c r="H7" s="72" t="n">
        <x:f>'README'!$B$13</x:f>
        <x:v>250</x:v>
      </x:c>
      <x:c r="I7" s="72" t="n">
        <x:f>CEILING(E7/H7,1)</x:f>
        <x:v>1</x:v>
      </x:c>
      <x:c r="J7" s="71" t="str">
        <x:f>IF(COUNTIFS('Material_Requirements'!$A$2:$A$626,A7,'Material_Requirements'!$P$2:$P$626,"SHORT")&gt;0,"AT RISK",IF(COUNTIFS('Material_Requirements'!$A$2:$A$626,A7,'Material_Requirements'!$P$2:$P$626,"BELOW TARGET")&gt;0,"WATCH","READY"))</x:f>
        <x:v>AT RISK</x:v>
      </x:c>
      <x:c r="K7" s="71" t="n">
        <x:f>F7-'README'!$B$14</x:f>
        <x:v>4</x:v>
      </x:c>
      <x:c r="L7" s="71" t="str">
        <x:f>IF(J7="AT RISK","EXPEDITE MATERIAL",IF(J7="WATCH","REVIEW COVERAGE",IF(K7&lt;=7,"SCHEDULE NOW",IF(K7&lt;=14,"NEXT UP","FUTURE"))))</x:f>
        <x:v>EXPEDITE MATERIAL</x:v>
      </x:c>
    </x:row>
    <x:row r="8" ht="15" customHeight="1">
      <x:c r="A8" s="71" t="str">
        <x:v>SO-26006</x:v>
      </x:c>
      <x:c r="B8" s="71" t="str">
        <x:v>Sample Customer C</x:v>
      </x:c>
      <x:c r="C8" s="71" t="str">
        <x:v>FG-010</x:v>
      </x:c>
      <x:c r="D8" s="71" t="str">
        <x:v>Flex Blue Product</x:v>
      </x:c>
      <x:c r="E8" s="72" t="n">
        <x:v>80</x:v>
      </x:c>
      <x:c r="F8" s="72" t="n">
        <x:v>46258</x:v>
      </x:c>
      <x:c r="G8" s="72" t="str">
        <x:v>Normal</x:v>
      </x:c>
      <x:c r="H8" s="72" t="n">
        <x:f>'README'!$B$13</x:f>
        <x:v>250</x:v>
      </x:c>
      <x:c r="I8" s="72" t="n">
        <x:f>CEILING(E8/H8,1)</x:f>
        <x:v>1</x:v>
      </x:c>
      <x:c r="J8" s="71" t="str">
        <x:f>IF(COUNTIFS('Material_Requirements'!$A$2:$A$626,A8,'Material_Requirements'!$P$2:$P$626,"SHORT")&gt;0,"AT RISK",IF(COUNTIFS('Material_Requirements'!$A$2:$A$626,A8,'Material_Requirements'!$P$2:$P$626,"BELOW TARGET")&gt;0,"WATCH","READY"))</x:f>
        <x:v>AT RISK</x:v>
      </x:c>
      <x:c r="K8" s="71" t="n">
        <x:f>F8-'README'!$B$14</x:f>
        <x:v>4</x:v>
      </x:c>
      <x:c r="L8" s="71" t="str">
        <x:f>IF(J8="AT RISK","EXPEDITE MATERIAL",IF(J8="WATCH","REVIEW COVERAGE",IF(K8&lt;=7,"SCHEDULE NOW",IF(K8&lt;=14,"NEXT UP","FUTURE"))))</x:f>
        <x:v>EXPEDITE MATERIAL</x:v>
      </x:c>
    </x:row>
    <x:row r="9" ht="15" customHeight="1">
      <x:c r="A9" s="71" t="str">
        <x:v>SO-26060</x:v>
      </x:c>
      <x:c r="B9" s="71" t="str">
        <x:v>Sample Customer D</x:v>
      </x:c>
      <x:c r="C9" s="71" t="str">
        <x:v>FG-019</x:v>
      </x:c>
      <x:c r="D9" s="71" t="str">
        <x:v>Guard White Product</x:v>
      </x:c>
      <x:c r="E9" s="72" t="n">
        <x:v>50</x:v>
      </x:c>
      <x:c r="F9" s="72" t="n">
        <x:v>46258</x:v>
      </x:c>
      <x:c r="G9" s="72" t="str">
        <x:v>Normal</x:v>
      </x:c>
      <x:c r="H9" s="72" t="n">
        <x:f>'README'!$B$13</x:f>
        <x:v>250</x:v>
      </x:c>
      <x:c r="I9" s="72" t="n">
        <x:f>CEILING(E9/H9,1)</x:f>
        <x:v>1</x:v>
      </x:c>
      <x:c r="J9" s="71" t="str">
        <x:f>IF(COUNTIFS('Material_Requirements'!$A$2:$A$626,A9,'Material_Requirements'!$P$2:$P$626,"SHORT")&gt;0,"AT RISK",IF(COUNTIFS('Material_Requirements'!$A$2:$A$626,A9,'Material_Requirements'!$P$2:$P$626,"BELOW TARGET")&gt;0,"WATCH","READY"))</x:f>
        <x:v>AT RISK</x:v>
      </x:c>
      <x:c r="K9" s="71" t="n">
        <x:f>F9-'README'!$B$14</x:f>
        <x:v>4</x:v>
      </x:c>
      <x:c r="L9" s="71" t="str">
        <x:f>IF(J9="AT RISK","EXPEDITE MATERIAL",IF(J9="WATCH","REVIEW COVERAGE",IF(K9&lt;=7,"SCHEDULE NOW",IF(K9&lt;=14,"NEXT UP","FUTURE"))))</x:f>
        <x:v>EXPEDITE MATERIAL</x:v>
      </x:c>
    </x:row>
    <x:row r="10" ht="15" customHeight="1">
      <x:c r="A10" s="71" t="str">
        <x:v>SO-26035</x:v>
      </x:c>
      <x:c r="B10" s="71" t="str">
        <x:v>Sample Customer B</x:v>
      </x:c>
      <x:c r="C10" s="71" t="str">
        <x:v>FG-014</x:v>
      </x:c>
      <x:c r="D10" s="71" t="str">
        <x:v>Flex Gray Product</x:v>
      </x:c>
      <x:c r="E10" s="72" t="n">
        <x:v>30</x:v>
      </x:c>
      <x:c r="F10" s="72" t="n">
        <x:v>46259</x:v>
      </x:c>
      <x:c r="G10" s="72" t="str">
        <x:v>High</x:v>
      </x:c>
      <x:c r="H10" s="72" t="n">
        <x:f>'README'!$B$13</x:f>
        <x:v>250</x:v>
      </x:c>
      <x:c r="I10" s="72" t="n">
        <x:f>CEILING(E10/H10,1)</x:f>
        <x:v>1</x:v>
      </x:c>
      <x:c r="J10" s="71" t="str">
        <x:f>IF(COUNTIFS('Material_Requirements'!$A$2:$A$626,A10,'Material_Requirements'!$P$2:$P$626,"SHORT")&gt;0,"AT RISK",IF(COUNTIFS('Material_Requirements'!$A$2:$A$626,A10,'Material_Requirements'!$P$2:$P$626,"BELOW TARGET")&gt;0,"WATCH","READY"))</x:f>
        <x:v>AT RISK</x:v>
      </x:c>
      <x:c r="K10" s="71" t="n">
        <x:f>F10-'README'!$B$14</x:f>
        <x:v>5</x:v>
      </x:c>
      <x:c r="L10" s="71" t="str">
        <x:f>IF(J10="AT RISK","EXPEDITE MATERIAL",IF(J10="WATCH","REVIEW COVERAGE",IF(K10&lt;=7,"SCHEDULE NOW",IF(K10&lt;=14,"NEXT UP","FUTURE"))))</x:f>
        <x:v>EXPEDITE MATERIAL</x:v>
      </x:c>
    </x:row>
    <x:row r="11" ht="15" customHeight="1">
      <x:c r="A11" s="71" t="str">
        <x:v>SO-26012</x:v>
      </x:c>
      <x:c r="B11" s="71" t="str">
        <x:v>Sample Customer E</x:v>
      </x:c>
      <x:c r="C11" s="71" t="str">
        <x:v>FG-018</x:v>
      </x:c>
      <x:c r="D11" s="71" t="str">
        <x:v>Flex Red Product</x:v>
      </x:c>
      <x:c r="E11" s="72" t="n">
        <x:v>20</x:v>
      </x:c>
      <x:c r="F11" s="72" t="n">
        <x:v>46259</x:v>
      </x:c>
      <x:c r="G11" s="72" t="str">
        <x:v>Normal</x:v>
      </x:c>
      <x:c r="H11" s="72" t="n">
        <x:f>'README'!$B$13</x:f>
        <x:v>250</x:v>
      </x:c>
      <x:c r="I11" s="72" t="n">
        <x:f>CEILING(E11/H11,1)</x:f>
        <x:v>1</x:v>
      </x:c>
      <x:c r="J11" s="71" t="str">
        <x:f>IF(COUNTIFS('Material_Requirements'!$A$2:$A$626,A11,'Material_Requirements'!$P$2:$P$626,"SHORT")&gt;0,"AT RISK",IF(COUNTIFS('Material_Requirements'!$A$2:$A$626,A11,'Material_Requirements'!$P$2:$P$626,"BELOW TARGET")&gt;0,"WATCH","READY"))</x:f>
        <x:v>AT RISK</x:v>
      </x:c>
      <x:c r="K11" s="71" t="n">
        <x:f>F11-'README'!$B$14</x:f>
        <x:v>5</x:v>
      </x:c>
      <x:c r="L11" s="71" t="str">
        <x:f>IF(J11="AT RISK","EXPEDITE MATERIAL",IF(J11="WATCH","REVIEW COVERAGE",IF(K11&lt;=7,"SCHEDULE NOW",IF(K11&lt;=14,"NEXT UP","FUTURE"))))</x:f>
        <x:v>EXPEDITE MATERIAL</x:v>
      </x:c>
    </x:row>
    <x:row r="12" ht="15" customHeight="1">
      <x:c r="A12" s="71" t="str">
        <x:v>SO-26089</x:v>
      </x:c>
      <x:c r="B12" s="71" t="str">
        <x:v>Sample Customer E</x:v>
      </x:c>
      <x:c r="C12" s="71" t="str">
        <x:v>FG-020</x:v>
      </x:c>
      <x:c r="D12" s="71" t="str">
        <x:v>Prime Gray Product</x:v>
      </x:c>
      <x:c r="E12" s="72" t="n">
        <x:v>40</x:v>
      </x:c>
      <x:c r="F12" s="72" t="n">
        <x:v>46261</x:v>
      </x:c>
      <x:c r="G12" s="72" t="str">
        <x:v>High</x:v>
      </x:c>
      <x:c r="H12" s="72" t="n">
        <x:f>'README'!$B$13</x:f>
        <x:v>250</x:v>
      </x:c>
      <x:c r="I12" s="72" t="n">
        <x:f>CEILING(E12/H12,1)</x:f>
        <x:v>1</x:v>
      </x:c>
      <x:c r="J12" s="71" t="str">
        <x:f>IF(COUNTIFS('Material_Requirements'!$A$2:$A$626,A12,'Material_Requirements'!$P$2:$P$626,"SHORT")&gt;0,"AT RISK",IF(COUNTIFS('Material_Requirements'!$A$2:$A$626,A12,'Material_Requirements'!$P$2:$P$626,"BELOW TARGET")&gt;0,"WATCH","READY"))</x:f>
        <x:v>AT RISK</x:v>
      </x:c>
      <x:c r="K12" s="71" t="n">
        <x:f>F12-'README'!$B$14</x:f>
        <x:v>7</x:v>
      </x:c>
      <x:c r="L12" s="71" t="str">
        <x:f>IF(J12="AT RISK","EXPEDITE MATERIAL",IF(J12="WATCH","REVIEW COVERAGE",IF(K12&lt;=7,"SCHEDULE NOW",IF(K12&lt;=14,"NEXT UP","FUTURE"))))</x:f>
        <x:v>EXPEDITE MATERIAL</x:v>
      </x:c>
    </x:row>
    <x:row r="13" ht="15" customHeight="1">
      <x:c r="A13" s="71" t="str">
        <x:v>SO-26059</x:v>
      </x:c>
      <x:c r="B13" s="71" t="str">
        <x:v>Sample Customer E</x:v>
      </x:c>
      <x:c r="C13" s="71" t="str">
        <x:v>FG-001</x:v>
      </x:c>
      <x:c r="D13" s="71" t="str">
        <x:v>Shield White Product</x:v>
      </x:c>
      <x:c r="E13" s="72" t="n">
        <x:v>10</x:v>
      </x:c>
      <x:c r="F13" s="72" t="n">
        <x:v>46261</x:v>
      </x:c>
      <x:c r="G13" s="72" t="str">
        <x:v>Normal</x:v>
      </x:c>
      <x:c r="H13" s="72" t="n">
        <x:f>'README'!$B$13</x:f>
        <x:v>250</x:v>
      </x:c>
      <x:c r="I13" s="72" t="n">
        <x:f>CEILING(E13/H13,1)</x:f>
        <x:v>1</x:v>
      </x:c>
      <x:c r="J13" s="71" t="str">
        <x:f>IF(COUNTIFS('Material_Requirements'!$A$2:$A$626,A13,'Material_Requirements'!$P$2:$P$626,"SHORT")&gt;0,"AT RISK",IF(COUNTIFS('Material_Requirements'!$A$2:$A$626,A13,'Material_Requirements'!$P$2:$P$626,"BELOW TARGET")&gt;0,"WATCH","READY"))</x:f>
        <x:v>AT RISK</x:v>
      </x:c>
      <x:c r="K13" s="71" t="n">
        <x:f>F13-'README'!$B$14</x:f>
        <x:v>7</x:v>
      </x:c>
      <x:c r="L13" s="71" t="str">
        <x:f>IF(J13="AT RISK","EXPEDITE MATERIAL",IF(J13="WATCH","REVIEW COVERAGE",IF(K13&lt;=7,"SCHEDULE NOW",IF(K13&lt;=14,"NEXT UP","FUTURE"))))</x:f>
        <x:v>EXPEDITE MATERIAL</x:v>
      </x:c>
    </x:row>
    <x:row r="14" ht="15" customHeight="1">
      <x:c r="A14" s="71" t="str">
        <x:v>SO-26039</x:v>
      </x:c>
      <x:c r="B14" s="71" t="str">
        <x:v>Sample Customer C</x:v>
      </x:c>
      <x:c r="C14" s="71" t="str">
        <x:v>FG-004</x:v>
      </x:c>
      <x:c r="D14" s="71" t="str">
        <x:v>Prime Blue Product</x:v>
      </x:c>
      <x:c r="E14" s="72" t="n">
        <x:v>80</x:v>
      </x:c>
      <x:c r="F14" s="72" t="n">
        <x:v>46262</x:v>
      </x:c>
      <x:c r="G14" s="72" t="str">
        <x:v>High</x:v>
      </x:c>
      <x:c r="H14" s="72" t="n">
        <x:f>'README'!$B$13</x:f>
        <x:v>250</x:v>
      </x:c>
      <x:c r="I14" s="72" t="n">
        <x:f>CEILING(E14/H14,1)</x:f>
        <x:v>1</x:v>
      </x:c>
      <x:c r="J14" s="71" t="str">
        <x:f>IF(COUNTIFS('Material_Requirements'!$A$2:$A$626,A14,'Material_Requirements'!$P$2:$P$626,"SHORT")&gt;0,"AT RISK",IF(COUNTIFS('Material_Requirements'!$A$2:$A$626,A14,'Material_Requirements'!$P$2:$P$626,"BELOW TARGET")&gt;0,"WATCH","READY"))</x:f>
        <x:v>AT RISK</x:v>
      </x:c>
      <x:c r="K14" s="71" t="n">
        <x:f>F14-'README'!$B$14</x:f>
        <x:v>8</x:v>
      </x:c>
      <x:c r="L14" s="71" t="str">
        <x:f>IF(J14="AT RISK","EXPEDITE MATERIAL",IF(J14="WATCH","REVIEW COVERAGE",IF(K14&lt;=7,"SCHEDULE NOW",IF(K14&lt;=14,"NEXT UP","FUTURE"))))</x:f>
        <x:v>EXPEDITE MATERIAL</x:v>
      </x:c>
    </x:row>
    <x:row r="15" ht="15" customHeight="1">
      <x:c r="A15" s="71" t="str">
        <x:v>SO-26040</x:v>
      </x:c>
      <x:c r="B15" s="71" t="str">
        <x:v>Sample Customer A</x:v>
      </x:c>
      <x:c r="C15" s="71" t="str">
        <x:v>FG-011</x:v>
      </x:c>
      <x:c r="D15" s="71" t="str">
        <x:v>Guard Black Product</x:v>
      </x:c>
      <x:c r="E15" s="72" t="n">
        <x:v>60</x:v>
      </x:c>
      <x:c r="F15" s="72" t="n">
        <x:v>46262</x:v>
      </x:c>
      <x:c r="G15" s="72" t="str">
        <x:v>High</x:v>
      </x:c>
      <x:c r="H15" s="72" t="n">
        <x:f>'README'!$B$13</x:f>
        <x:v>250</x:v>
      </x:c>
      <x:c r="I15" s="72" t="n">
        <x:f>CEILING(E15/H15,1)</x:f>
        <x:v>1</x:v>
      </x:c>
      <x:c r="J15" s="71" t="str">
        <x:f>IF(COUNTIFS('Material_Requirements'!$A$2:$A$626,A15,'Material_Requirements'!$P$2:$P$626,"SHORT")&gt;0,"AT RISK",IF(COUNTIFS('Material_Requirements'!$A$2:$A$626,A15,'Material_Requirements'!$P$2:$P$626,"BELOW TARGET")&gt;0,"WATCH","READY"))</x:f>
        <x:v>AT RISK</x:v>
      </x:c>
      <x:c r="K15" s="71" t="n">
        <x:f>F15-'README'!$B$14</x:f>
        <x:v>8</x:v>
      </x:c>
      <x:c r="L15" s="71" t="str">
        <x:f>IF(J15="AT RISK","EXPEDITE MATERIAL",IF(J15="WATCH","REVIEW COVERAGE",IF(K15&lt;=7,"SCHEDULE NOW",IF(K15&lt;=14,"NEXT UP","FUTURE"))))</x:f>
        <x:v>EXPEDITE MATERIAL</x:v>
      </x:c>
    </x:row>
    <x:row r="16" ht="15" customHeight="1">
      <x:c r="A16" s="71" t="str">
        <x:v>SO-26002</x:v>
      </x:c>
      <x:c r="B16" s="71" t="str">
        <x:v>Sample Customer B</x:v>
      </x:c>
      <x:c r="C16" s="71" t="str">
        <x:v>FG-005</x:v>
      </x:c>
      <x:c r="D16" s="71" t="str">
        <x:v>Shield Black Product</x:v>
      </x:c>
      <x:c r="E16" s="72" t="n">
        <x:v>40</x:v>
      </x:c>
      <x:c r="F16" s="72" t="n">
        <x:v>46262</x:v>
      </x:c>
      <x:c r="G16" s="72" t="str">
        <x:v>Normal</x:v>
      </x:c>
      <x:c r="H16" s="72" t="n">
        <x:f>'README'!$B$13</x:f>
        <x:v>250</x:v>
      </x:c>
      <x:c r="I16" s="72" t="n">
        <x:f>CEILING(E16/H16,1)</x:f>
        <x:v>1</x:v>
      </x:c>
      <x:c r="J16" s="71" t="str">
        <x:f>IF(COUNTIFS('Material_Requirements'!$A$2:$A$626,A16,'Material_Requirements'!$P$2:$P$626,"SHORT")&gt;0,"AT RISK",IF(COUNTIFS('Material_Requirements'!$A$2:$A$626,A16,'Material_Requirements'!$P$2:$P$626,"BELOW TARGET")&gt;0,"WATCH","READY"))</x:f>
        <x:v>AT RISK</x:v>
      </x:c>
      <x:c r="K16" s="71" t="n">
        <x:f>F16-'README'!$B$14</x:f>
        <x:v>8</x:v>
      </x:c>
      <x:c r="L16" s="71" t="str">
        <x:f>IF(J16="AT RISK","EXPEDITE MATERIAL",IF(J16="WATCH","REVIEW COVERAGE",IF(K16&lt;=7,"SCHEDULE NOW",IF(K16&lt;=14,"NEXT UP","FUTURE"))))</x:f>
        <x:v>EXPEDITE MATERIAL</x:v>
      </x:c>
    </x:row>
    <x:row r="17" ht="15" customHeight="1">
      <x:c r="A17" s="71" t="str">
        <x:v>SO-26022</x:v>
      </x:c>
      <x:c r="B17" s="71" t="str">
        <x:v>Sample Customer A</x:v>
      </x:c>
      <x:c r="C17" s="71" t="str">
        <x:v>FG-011</x:v>
      </x:c>
      <x:c r="D17" s="71" t="str">
        <x:v>Guard Black Product</x:v>
      </x:c>
      <x:c r="E17" s="72" t="n">
        <x:v>100</x:v>
      </x:c>
      <x:c r="F17" s="72" t="n">
        <x:v>46263</x:v>
      </x:c>
      <x:c r="G17" s="72" t="str">
        <x:v>High</x:v>
      </x:c>
      <x:c r="H17" s="72" t="n">
        <x:f>'README'!$B$13</x:f>
        <x:v>250</x:v>
      </x:c>
      <x:c r="I17" s="72" t="n">
        <x:f>CEILING(E17/H17,1)</x:f>
        <x:v>1</x:v>
      </x:c>
      <x:c r="J17" s="71" t="str">
        <x:f>IF(COUNTIFS('Material_Requirements'!$A$2:$A$626,A17,'Material_Requirements'!$P$2:$P$626,"SHORT")&gt;0,"AT RISK",IF(COUNTIFS('Material_Requirements'!$A$2:$A$626,A17,'Material_Requirements'!$P$2:$P$626,"BELOW TARGET")&gt;0,"WATCH","READY"))</x:f>
        <x:v>AT RISK</x:v>
      </x:c>
      <x:c r="K17" s="71" t="n">
        <x:f>F17-'README'!$B$14</x:f>
        <x:v>9</x:v>
      </x:c>
      <x:c r="L17" s="71" t="str">
        <x:f>IF(J17="AT RISK","EXPEDITE MATERIAL",IF(J17="WATCH","REVIEW COVERAGE",IF(K17&lt;=7,"SCHEDULE NOW",IF(K17&lt;=14,"NEXT UP","FUTURE"))))</x:f>
        <x:v>EXPEDITE MATERIAL</x:v>
      </x:c>
    </x:row>
    <x:row r="18" ht="15" customHeight="1">
      <x:c r="A18" s="71" t="str">
        <x:v>SO-26079</x:v>
      </x:c>
      <x:c r="B18" s="71" t="str">
        <x:v>Sample Customer E</x:v>
      </x:c>
      <x:c r="C18" s="71" t="str">
        <x:v>FG-014</x:v>
      </x:c>
      <x:c r="D18" s="71" t="str">
        <x:v>Flex Gray Product</x:v>
      </x:c>
      <x:c r="E18" s="72" t="n">
        <x:v>30</x:v>
      </x:c>
      <x:c r="F18" s="72" t="n">
        <x:v>46263</x:v>
      </x:c>
      <x:c r="G18" s="72" t="str">
        <x:v>High</x:v>
      </x:c>
      <x:c r="H18" s="72" t="n">
        <x:f>'README'!$B$13</x:f>
        <x:v>250</x:v>
      </x:c>
      <x:c r="I18" s="72" t="n">
        <x:f>CEILING(E18/H18,1)</x:f>
        <x:v>1</x:v>
      </x:c>
      <x:c r="J18" s="71" t="str">
        <x:f>IF(COUNTIFS('Material_Requirements'!$A$2:$A$626,A18,'Material_Requirements'!$P$2:$P$626,"SHORT")&gt;0,"AT RISK",IF(COUNTIFS('Material_Requirements'!$A$2:$A$626,A18,'Material_Requirements'!$P$2:$P$626,"BELOW TARGET")&gt;0,"WATCH","READY"))</x:f>
        <x:v>AT RISK</x:v>
      </x:c>
      <x:c r="K18" s="71" t="n">
        <x:f>F18-'README'!$B$14</x:f>
        <x:v>9</x:v>
      </x:c>
      <x:c r="L18" s="71" t="str">
        <x:f>IF(J18="AT RISK","EXPEDITE MATERIAL",IF(J18="WATCH","REVIEW COVERAGE",IF(K18&lt;=7,"SCHEDULE NOW",IF(K18&lt;=14,"NEXT UP","FUTURE"))))</x:f>
        <x:v>EXPEDITE MATERIAL</x:v>
      </x:c>
    </x:row>
    <x:row r="19" ht="15" customHeight="1">
      <x:c r="A19" s="71" t="str">
        <x:v>SO-26014</x:v>
      </x:c>
      <x:c r="B19" s="71" t="str">
        <x:v>Sample Customer D</x:v>
      </x:c>
      <x:c r="C19" s="71" t="str">
        <x:v>FG-001</x:v>
      </x:c>
      <x:c r="D19" s="71" t="str">
        <x:v>Shield White Product</x:v>
      </x:c>
      <x:c r="E19" s="72" t="n">
        <x:v>80</x:v>
      </x:c>
      <x:c r="F19" s="72" t="n">
        <x:v>46264</x:v>
      </x:c>
      <x:c r="G19" s="72" t="str">
        <x:v>Normal</x:v>
      </x:c>
      <x:c r="H19" s="72" t="n">
        <x:f>'README'!$B$13</x:f>
        <x:v>250</x:v>
      </x:c>
      <x:c r="I19" s="72" t="n">
        <x:f>CEILING(E19/H19,1)</x:f>
        <x:v>1</x:v>
      </x:c>
      <x:c r="J19" s="71" t="str">
        <x:f>IF(COUNTIFS('Material_Requirements'!$A$2:$A$626,A19,'Material_Requirements'!$P$2:$P$626,"SHORT")&gt;0,"AT RISK",IF(COUNTIFS('Material_Requirements'!$A$2:$A$626,A19,'Material_Requirements'!$P$2:$P$626,"BELOW TARGET")&gt;0,"WATCH","READY"))</x:f>
        <x:v>AT RISK</x:v>
      </x:c>
      <x:c r="K19" s="71" t="n">
        <x:f>F19-'README'!$B$14</x:f>
        <x:v>10</x:v>
      </x:c>
      <x:c r="L19" s="71" t="str">
        <x:f>IF(J19="AT RISK","EXPEDITE MATERIAL",IF(J19="WATCH","REVIEW COVERAGE",IF(K19&lt;=7,"SCHEDULE NOW",IF(K19&lt;=14,"NEXT UP","FUTURE"))))</x:f>
        <x:v>EXPEDITE MATERIAL</x:v>
      </x:c>
    </x:row>
    <x:row r="20" ht="15" customHeight="1">
      <x:c r="A20" s="71" t="str">
        <x:v>SO-26065</x:v>
      </x:c>
      <x:c r="B20" s="71" t="str">
        <x:v>Sample Customer C</x:v>
      </x:c>
      <x:c r="C20" s="71" t="str">
        <x:v>FG-022</x:v>
      </x:c>
      <x:c r="D20" s="71" t="str">
        <x:v>Flex Blue Product</x:v>
      </x:c>
      <x:c r="E20" s="72" t="n">
        <x:v>20</x:v>
      </x:c>
      <x:c r="F20" s="72" t="n">
        <x:v>46266</x:v>
      </x:c>
      <x:c r="G20" s="72" t="str">
        <x:v>Normal</x:v>
      </x:c>
      <x:c r="H20" s="72" t="n">
        <x:f>'README'!$B$13</x:f>
        <x:v>250</x:v>
      </x:c>
      <x:c r="I20" s="72" t="n">
        <x:f>CEILING(E20/H20,1)</x:f>
        <x:v>1</x:v>
      </x:c>
      <x:c r="J20" s="71" t="str">
        <x:f>IF(COUNTIFS('Material_Requirements'!$A$2:$A$626,A20,'Material_Requirements'!$P$2:$P$626,"SHORT")&gt;0,"AT RISK",IF(COUNTIFS('Material_Requirements'!$A$2:$A$626,A20,'Material_Requirements'!$P$2:$P$626,"BELOW TARGET")&gt;0,"WATCH","READY"))</x:f>
        <x:v>AT RISK</x:v>
      </x:c>
      <x:c r="K20" s="71" t="n">
        <x:f>F20-'README'!$B$14</x:f>
        <x:v>12</x:v>
      </x:c>
      <x:c r="L20" s="71" t="str">
        <x:f>IF(J20="AT RISK","EXPEDITE MATERIAL",IF(J20="WATCH","REVIEW COVERAGE",IF(K20&lt;=7,"SCHEDULE NOW",IF(K20&lt;=14,"NEXT UP","FUTURE"))))</x:f>
        <x:v>EXPEDITE MATERIAL</x:v>
      </x:c>
    </x:row>
    <x:row r="21" ht="15" customHeight="1">
      <x:c r="A21" s="71" t="str">
        <x:v>SO-26021</x:v>
      </x:c>
      <x:c r="B21" s="71" t="str">
        <x:v>Sample Customer A</x:v>
      </x:c>
      <x:c r="C21" s="71" t="str">
        <x:v>FG-021</x:v>
      </x:c>
      <x:c r="D21" s="71" t="str">
        <x:v>Shield Tan Product</x:v>
      </x:c>
      <x:c r="E21" s="72" t="n">
        <x:v>10</x:v>
      </x:c>
      <x:c r="F21" s="72" t="n">
        <x:v>46267</x:v>
      </x:c>
      <x:c r="G21" s="72" t="str">
        <x:v>High</x:v>
      </x:c>
      <x:c r="H21" s="72" t="n">
        <x:f>'README'!$B$13</x:f>
        <x:v>250</x:v>
      </x:c>
      <x:c r="I21" s="72" t="n">
        <x:f>CEILING(E21/H21,1)</x:f>
        <x:v>1</x:v>
      </x:c>
      <x:c r="J21" s="71" t="str">
        <x:f>IF(COUNTIFS('Material_Requirements'!$A$2:$A$626,A21,'Material_Requirements'!$P$2:$P$626,"SHORT")&gt;0,"AT RISK",IF(COUNTIFS('Material_Requirements'!$A$2:$A$626,A21,'Material_Requirements'!$P$2:$P$626,"BELOW TARGET")&gt;0,"WATCH","READY"))</x:f>
        <x:v>AT RISK</x:v>
      </x:c>
      <x:c r="K21" s="71" t="n">
        <x:f>F21-'README'!$B$14</x:f>
        <x:v>13</x:v>
      </x:c>
      <x:c r="L21" s="71" t="str">
        <x:f>IF(J21="AT RISK","EXPEDITE MATERIAL",IF(J21="WATCH","REVIEW COVERAGE",IF(K21&lt;=7,"SCHEDULE NOW",IF(K21&lt;=14,"NEXT UP","FUTURE"))))</x:f>
        <x:v>EXPEDITE MATERIAL</x:v>
      </x:c>
    </x:row>
    <x:row r="22" ht="15" customHeight="1">
      <x:c r="A22" s="71" t="str">
        <x:v>SO-26019</x:v>
      </x:c>
      <x:c r="B22" s="71" t="str">
        <x:v>Sample Customer B</x:v>
      </x:c>
      <x:c r="C22" s="71" t="str">
        <x:v>FG-012</x:v>
      </x:c>
      <x:c r="D22" s="71" t="str">
        <x:v>Prime Red Product</x:v>
      </x:c>
      <x:c r="E22" s="72" t="n">
        <x:v>80</x:v>
      </x:c>
      <x:c r="F22" s="72" t="n">
        <x:v>46267</x:v>
      </x:c>
      <x:c r="G22" s="72" t="str">
        <x:v>Normal</x:v>
      </x:c>
      <x:c r="H22" s="72" t="n">
        <x:f>'README'!$B$13</x:f>
        <x:v>250</x:v>
      </x:c>
      <x:c r="I22" s="72" t="n">
        <x:f>CEILING(E22/H22,1)</x:f>
        <x:v>1</x:v>
      </x:c>
      <x:c r="J22" s="71" t="str">
        <x:f>IF(COUNTIFS('Material_Requirements'!$A$2:$A$626,A22,'Material_Requirements'!$P$2:$P$626,"SHORT")&gt;0,"AT RISK",IF(COUNTIFS('Material_Requirements'!$A$2:$A$626,A22,'Material_Requirements'!$P$2:$P$626,"BELOW TARGET")&gt;0,"WATCH","READY"))</x:f>
        <x:v>AT RISK</x:v>
      </x:c>
      <x:c r="K22" s="71" t="n">
        <x:f>F22-'README'!$B$14</x:f>
        <x:v>13</x:v>
      </x:c>
      <x:c r="L22" s="71" t="str">
        <x:f>IF(J22="AT RISK","EXPEDITE MATERIAL",IF(J22="WATCH","REVIEW COVERAGE",IF(K22&lt;=7,"SCHEDULE NOW",IF(K22&lt;=14,"NEXT UP","FUTURE"))))</x:f>
        <x:v>EXPEDITE MATERIAL</x:v>
      </x:c>
    </x:row>
    <x:row r="23" ht="15" customHeight="1">
      <x:c r="A23" s="71" t="str">
        <x:v>SO-26031</x:v>
      </x:c>
      <x:c r="B23" s="71" t="str">
        <x:v>Sample Customer D</x:v>
      </x:c>
      <x:c r="C23" s="71" t="str">
        <x:v>FG-015</x:v>
      </x:c>
      <x:c r="D23" s="71" t="str">
        <x:v>Guard Tan Product</x:v>
      </x:c>
      <x:c r="E23" s="72" t="n">
        <x:v>100</x:v>
      </x:c>
      <x:c r="F23" s="72" t="n">
        <x:v>46268</x:v>
      </x:c>
      <x:c r="G23" s="72" t="str">
        <x:v>High</x:v>
      </x:c>
      <x:c r="H23" s="72" t="n">
        <x:f>'README'!$B$13</x:f>
        <x:v>250</x:v>
      </x:c>
      <x:c r="I23" s="72" t="n">
        <x:f>CEILING(E23/H23,1)</x:f>
        <x:v>1</x:v>
      </x:c>
      <x:c r="J23" s="71" t="str">
        <x:f>IF(COUNTIFS('Material_Requirements'!$A$2:$A$626,A23,'Material_Requirements'!$P$2:$P$626,"SHORT")&gt;0,"AT RISK",IF(COUNTIFS('Material_Requirements'!$A$2:$A$626,A23,'Material_Requirements'!$P$2:$P$626,"BELOW TARGET")&gt;0,"WATCH","READY"))</x:f>
        <x:v>AT RISK</x:v>
      </x:c>
      <x:c r="K23" s="71" t="n">
        <x:f>F23-'README'!$B$14</x:f>
        <x:v>14</x:v>
      </x:c>
      <x:c r="L23" s="71" t="str">
        <x:f>IF(J23="AT RISK","EXPEDITE MATERIAL",IF(J23="WATCH","REVIEW COVERAGE",IF(K23&lt;=7,"SCHEDULE NOW",IF(K23&lt;=14,"NEXT UP","FUTURE"))))</x:f>
        <x:v>EXPEDITE MATERIAL</x:v>
      </x:c>
    </x:row>
    <x:row r="24" ht="15" customHeight="1">
      <x:c r="A24" s="71" t="str">
        <x:v>SO-26011</x:v>
      </x:c>
      <x:c r="B24" s="71" t="str">
        <x:v>Sample Customer D</x:v>
      </x:c>
      <x:c r="C24" s="71" t="str">
        <x:v>FG-007</x:v>
      </x:c>
      <x:c r="D24" s="71" t="str">
        <x:v>Guard White Product</x:v>
      </x:c>
      <x:c r="E24" s="72" t="n">
        <x:v>10</x:v>
      </x:c>
      <x:c r="F24" s="72" t="n">
        <x:v>46268</x:v>
      </x:c>
      <x:c r="G24" s="72" t="str">
        <x:v>Normal</x:v>
      </x:c>
      <x:c r="H24" s="72" t="n">
        <x:f>'README'!$B$13</x:f>
        <x:v>250</x:v>
      </x:c>
      <x:c r="I24" s="72" t="n">
        <x:f>CEILING(E24/H24,1)</x:f>
        <x:v>1</x:v>
      </x:c>
      <x:c r="J24" s="71" t="str">
        <x:f>IF(COUNTIFS('Material_Requirements'!$A$2:$A$626,A24,'Material_Requirements'!$P$2:$P$626,"SHORT")&gt;0,"AT RISK",IF(COUNTIFS('Material_Requirements'!$A$2:$A$626,A24,'Material_Requirements'!$P$2:$P$626,"BELOW TARGET")&gt;0,"WATCH","READY"))</x:f>
        <x:v>AT RISK</x:v>
      </x:c>
      <x:c r="K24" s="71" t="n">
        <x:f>F24-'README'!$B$14</x:f>
        <x:v>14</x:v>
      </x:c>
      <x:c r="L24" s="71" t="str">
        <x:f>IF(J24="AT RISK","EXPEDITE MATERIAL",IF(J24="WATCH","REVIEW COVERAGE",IF(K24&lt;=7,"SCHEDULE NOW",IF(K24&lt;=14,"NEXT UP","FUTURE"))))</x:f>
        <x:v>EXPEDITE MATERIAL</x:v>
      </x:c>
    </x:row>
    <x:row r="25" ht="15" customHeight="1">
      <x:c r="A25" s="71" t="str">
        <x:v>SO-26027</x:v>
      </x:c>
      <x:c r="B25" s="71" t="str">
        <x:v>Sample Customer A</x:v>
      </x:c>
      <x:c r="C25" s="71" t="str">
        <x:v>FG-001</x:v>
      </x:c>
      <x:c r="D25" s="71" t="str">
        <x:v>Shield White Product</x:v>
      </x:c>
      <x:c r="E25" s="72" t="n">
        <x:v>10</x:v>
      </x:c>
      <x:c r="F25" s="72" t="n">
        <x:v>46268</x:v>
      </x:c>
      <x:c r="G25" s="72" t="str">
        <x:v>Normal</x:v>
      </x:c>
      <x:c r="H25" s="72" t="n">
        <x:f>'README'!$B$13</x:f>
        <x:v>250</x:v>
      </x:c>
      <x:c r="I25" s="72" t="n">
        <x:f>CEILING(E25/H25,1)</x:f>
        <x:v>1</x:v>
      </x:c>
      <x:c r="J25" s="71" t="str">
        <x:f>IF(COUNTIFS('Material_Requirements'!$A$2:$A$626,A25,'Material_Requirements'!$P$2:$P$626,"SHORT")&gt;0,"AT RISK",IF(COUNTIFS('Material_Requirements'!$A$2:$A$626,A25,'Material_Requirements'!$P$2:$P$626,"BELOW TARGET")&gt;0,"WATCH","READY"))</x:f>
        <x:v>AT RISK</x:v>
      </x:c>
      <x:c r="K25" s="71" t="n">
        <x:f>F25-'README'!$B$14</x:f>
        <x:v>14</x:v>
      </x:c>
      <x:c r="L25" s="71" t="str">
        <x:f>IF(J25="AT RISK","EXPEDITE MATERIAL",IF(J25="WATCH","REVIEW COVERAGE",IF(K25&lt;=7,"SCHEDULE NOW",IF(K25&lt;=14,"NEXT UP","FUTURE"))))</x:f>
        <x:v>EXPEDITE MATERIAL</x:v>
      </x:c>
    </x:row>
    <x:row r="26" ht="15" customHeight="1">
      <x:c r="A26" s="71" t="str">
        <x:v>SO-26036</x:v>
      </x:c>
      <x:c r="B26" s="71" t="str">
        <x:v>Sample Customer B</x:v>
      </x:c>
      <x:c r="C26" s="71" t="str">
        <x:v>FG-010</x:v>
      </x:c>
      <x:c r="D26" s="71" t="str">
        <x:v>Flex Blue Product</x:v>
      </x:c>
      <x:c r="E26" s="72" t="n">
        <x:v>80</x:v>
      </x:c>
      <x:c r="F26" s="72" t="n">
        <x:v>46268</x:v>
      </x:c>
      <x:c r="G26" s="72" t="str">
        <x:v>Normal</x:v>
      </x:c>
      <x:c r="H26" s="72" t="n">
        <x:f>'README'!$B$13</x:f>
        <x:v>250</x:v>
      </x:c>
      <x:c r="I26" s="72" t="n">
        <x:f>CEILING(E26/H26,1)</x:f>
        <x:v>1</x:v>
      </x:c>
      <x:c r="J26" s="71" t="str">
        <x:f>IF(COUNTIFS('Material_Requirements'!$A$2:$A$626,A26,'Material_Requirements'!$P$2:$P$626,"SHORT")&gt;0,"AT RISK",IF(COUNTIFS('Material_Requirements'!$A$2:$A$626,A26,'Material_Requirements'!$P$2:$P$626,"BELOW TARGET")&gt;0,"WATCH","READY"))</x:f>
        <x:v>AT RISK</x:v>
      </x:c>
      <x:c r="K26" s="71" t="n">
        <x:f>F26-'README'!$B$14</x:f>
        <x:v>14</x:v>
      </x:c>
      <x:c r="L26" s="71" t="str">
        <x:f>IF(J26="AT RISK","EXPEDITE MATERIAL",IF(J26="WATCH","REVIEW COVERAGE",IF(K26&lt;=7,"SCHEDULE NOW",IF(K26&lt;=14,"NEXT UP","FUTURE"))))</x:f>
        <x:v>EXPEDITE MATERIAL</x:v>
      </x:c>
    </x:row>
    <x:row r="27" ht="15" customHeight="1">
      <x:c r="A27" s="71" t="str">
        <x:v>SO-26030</x:v>
      </x:c>
      <x:c r="B27" s="71" t="str">
        <x:v>Sample Customer A</x:v>
      </x:c>
      <x:c r="C27" s="71" t="str">
        <x:v>FG-011</x:v>
      </x:c>
      <x:c r="D27" s="71" t="str">
        <x:v>Guard Black Product</x:v>
      </x:c>
      <x:c r="E27" s="72" t="n">
        <x:v>30</x:v>
      </x:c>
      <x:c r="F27" s="72" t="n">
        <x:v>46269</x:v>
      </x:c>
      <x:c r="G27" s="72" t="str">
        <x:v>High</x:v>
      </x:c>
      <x:c r="H27" s="72" t="n">
        <x:f>'README'!$B$13</x:f>
        <x:v>250</x:v>
      </x:c>
      <x:c r="I27" s="72" t="n">
        <x:f>CEILING(E27/H27,1)</x:f>
        <x:v>1</x:v>
      </x:c>
      <x:c r="J27" s="71" t="str">
        <x:f>IF(COUNTIFS('Material_Requirements'!$A$2:$A$626,A27,'Material_Requirements'!$P$2:$P$626,"SHORT")&gt;0,"AT RISK",IF(COUNTIFS('Material_Requirements'!$A$2:$A$626,A27,'Material_Requirements'!$P$2:$P$626,"BELOW TARGET")&gt;0,"WATCH","READY"))</x:f>
        <x:v>AT RISK</x:v>
      </x:c>
      <x:c r="K27" s="71" t="n">
        <x:f>F27-'README'!$B$14</x:f>
        <x:v>15</x:v>
      </x:c>
      <x:c r="L27" s="71" t="str">
        <x:f>IF(J27="AT RISK","EXPEDITE MATERIAL",IF(J27="WATCH","REVIEW COVERAGE",IF(K27&lt;=7,"SCHEDULE NOW",IF(K27&lt;=14,"NEXT UP","FUTURE"))))</x:f>
        <x:v>EXPEDITE MATERIAL</x:v>
      </x:c>
    </x:row>
    <x:row r="28" ht="15" customHeight="1">
      <x:c r="A28" s="71" t="str">
        <x:v>SO-26007</x:v>
      </x:c>
      <x:c r="B28" s="71" t="str">
        <x:v>Sample Customer C</x:v>
      </x:c>
      <x:c r="C28" s="71" t="str">
        <x:v>FG-017</x:v>
      </x:c>
      <x:c r="D28" s="71" t="str">
        <x:v>Shield Black Product</x:v>
      </x:c>
      <x:c r="E28" s="72" t="n">
        <x:v>30</x:v>
      </x:c>
      <x:c r="F28" s="72" t="n">
        <x:v>46269</x:v>
      </x:c>
      <x:c r="G28" s="72" t="str">
        <x:v>Normal</x:v>
      </x:c>
      <x:c r="H28" s="72" t="n">
        <x:f>'README'!$B$13</x:f>
        <x:v>250</x:v>
      </x:c>
      <x:c r="I28" s="72" t="n">
        <x:f>CEILING(E28/H28,1)</x:f>
        <x:v>1</x:v>
      </x:c>
      <x:c r="J28" s="71" t="str">
        <x:f>IF(COUNTIFS('Material_Requirements'!$A$2:$A$626,A28,'Material_Requirements'!$P$2:$P$626,"SHORT")&gt;0,"AT RISK",IF(COUNTIFS('Material_Requirements'!$A$2:$A$626,A28,'Material_Requirements'!$P$2:$P$626,"BELOW TARGET")&gt;0,"WATCH","READY"))</x:f>
        <x:v>AT RISK</x:v>
      </x:c>
      <x:c r="K28" s="71" t="n">
        <x:f>F28-'README'!$B$14</x:f>
        <x:v>15</x:v>
      </x:c>
      <x:c r="L28" s="71" t="str">
        <x:f>IF(J28="AT RISK","EXPEDITE MATERIAL",IF(J28="WATCH","REVIEW COVERAGE",IF(K28&lt;=7,"SCHEDULE NOW",IF(K28&lt;=14,"NEXT UP","FUTURE"))))</x:f>
        <x:v>EXPEDITE MATERIAL</x:v>
      </x:c>
    </x:row>
    <x:row r="29" ht="15" customHeight="1">
      <x:c r="A29" s="71" t="str">
        <x:v>SO-26071</x:v>
      </x:c>
      <x:c r="B29" s="71" t="str">
        <x:v>Sample Customer E</x:v>
      </x:c>
      <x:c r="C29" s="71" t="str">
        <x:v>FG-021</x:v>
      </x:c>
      <x:c r="D29" s="71" t="str">
        <x:v>Shield Tan Product</x:v>
      </x:c>
      <x:c r="E29" s="72" t="n">
        <x:v>100</x:v>
      </x:c>
      <x:c r="F29" s="72" t="n">
        <x:v>46270</x:v>
      </x:c>
      <x:c r="G29" s="72" t="str">
        <x:v>Normal</x:v>
      </x:c>
      <x:c r="H29" s="72" t="n">
        <x:f>'README'!$B$13</x:f>
        <x:v>250</x:v>
      </x:c>
      <x:c r="I29" s="72" t="n">
        <x:f>CEILING(E29/H29,1)</x:f>
        <x:v>1</x:v>
      </x:c>
      <x:c r="J29" s="71" t="str">
        <x:f>IF(COUNTIFS('Material_Requirements'!$A$2:$A$626,A29,'Material_Requirements'!$P$2:$P$626,"SHORT")&gt;0,"AT RISK",IF(COUNTIFS('Material_Requirements'!$A$2:$A$626,A29,'Material_Requirements'!$P$2:$P$626,"BELOW TARGET")&gt;0,"WATCH","READY"))</x:f>
        <x:v>AT RISK</x:v>
      </x:c>
      <x:c r="K29" s="71" t="n">
        <x:f>F29-'README'!$B$14</x:f>
        <x:v>16</x:v>
      </x:c>
      <x:c r="L29" s="71" t="str">
        <x:f>IF(J29="AT RISK","EXPEDITE MATERIAL",IF(J29="WATCH","REVIEW COVERAGE",IF(K29&lt;=7,"SCHEDULE NOW",IF(K29&lt;=14,"NEXT UP","FUTURE"))))</x:f>
        <x:v>EXPEDITE MATERIAL</x:v>
      </x:c>
    </x:row>
    <x:row r="30" ht="15" customHeight="1">
      <x:c r="A30" s="71" t="str">
        <x:v>SO-26001</x:v>
      </x:c>
      <x:c r="B30" s="71" t="str">
        <x:v>Sample Customer A</x:v>
      </x:c>
      <x:c r="C30" s="71" t="str">
        <x:v>FG-012</x:v>
      </x:c>
      <x:c r="D30" s="71" t="str">
        <x:v>Prime Red Product</x:v>
      </x:c>
      <x:c r="E30" s="72" t="n">
        <x:v>10</x:v>
      </x:c>
      <x:c r="F30" s="72" t="n">
        <x:v>46271</x:v>
      </x:c>
      <x:c r="G30" s="72" t="str">
        <x:v>High</x:v>
      </x:c>
      <x:c r="H30" s="72" t="n">
        <x:f>'README'!$B$13</x:f>
        <x:v>250</x:v>
      </x:c>
      <x:c r="I30" s="72" t="n">
        <x:f>CEILING(E30/H30,1)</x:f>
        <x:v>1</x:v>
      </x:c>
      <x:c r="J30" s="71" t="str">
        <x:f>IF(COUNTIFS('Material_Requirements'!$A$2:$A$626,A30,'Material_Requirements'!$P$2:$P$626,"SHORT")&gt;0,"AT RISK",IF(COUNTIFS('Material_Requirements'!$A$2:$A$626,A30,'Material_Requirements'!$P$2:$P$626,"BELOW TARGET")&gt;0,"WATCH","READY"))</x:f>
        <x:v>AT RISK</x:v>
      </x:c>
      <x:c r="K30" s="71" t="n">
        <x:f>F30-'README'!$B$14</x:f>
        <x:v>17</x:v>
      </x:c>
      <x:c r="L30" s="71" t="str">
        <x:f>IF(J30="AT RISK","EXPEDITE MATERIAL",IF(J30="WATCH","REVIEW COVERAGE",IF(K30&lt;=7,"SCHEDULE NOW",IF(K30&lt;=14,"NEXT UP","FUTURE"))))</x:f>
        <x:v>EXPEDITE MATERIAL</x:v>
      </x:c>
    </x:row>
    <x:row r="31" ht="15" customHeight="1">
      <x:c r="A31" s="71" t="str">
        <x:v>SO-26058</x:v>
      </x:c>
      <x:c r="B31" s="71" t="str">
        <x:v>Sample Customer C</x:v>
      </x:c>
      <x:c r="C31" s="71" t="str">
        <x:v>FG-008</x:v>
      </x:c>
      <x:c r="D31" s="71" t="str">
        <x:v>Prime Gray Product</x:v>
      </x:c>
      <x:c r="E31" s="72" t="n">
        <x:v>100</x:v>
      </x:c>
      <x:c r="F31" s="72" t="n">
        <x:v>46271</x:v>
      </x:c>
      <x:c r="G31" s="72" t="str">
        <x:v>Normal</x:v>
      </x:c>
      <x:c r="H31" s="72" t="n">
        <x:f>'README'!$B$13</x:f>
        <x:v>250</x:v>
      </x:c>
      <x:c r="I31" s="72" t="n">
        <x:f>CEILING(E31/H31,1)</x:f>
        <x:v>1</x:v>
      </x:c>
      <x:c r="J31" s="71" t="str">
        <x:f>IF(COUNTIFS('Material_Requirements'!$A$2:$A$626,A31,'Material_Requirements'!$P$2:$P$626,"SHORT")&gt;0,"AT RISK",IF(COUNTIFS('Material_Requirements'!$A$2:$A$626,A31,'Material_Requirements'!$P$2:$P$626,"BELOW TARGET")&gt;0,"WATCH","READY"))</x:f>
        <x:v>AT RISK</x:v>
      </x:c>
      <x:c r="K31" s="71" t="n">
        <x:f>F31-'README'!$B$14</x:f>
        <x:v>17</x:v>
      </x:c>
      <x:c r="L31" s="71" t="str">
        <x:f>IF(J31="AT RISK","EXPEDITE MATERIAL",IF(J31="WATCH","REVIEW COVERAGE",IF(K31&lt;=7,"SCHEDULE NOW",IF(K31&lt;=14,"NEXT UP","FUTURE"))))</x:f>
        <x:v>EXPEDITE MATERIAL</x:v>
      </x:c>
    </x:row>
    <x:row r="32" ht="15" customHeight="1">
      <x:c r="A32" s="71" t="str">
        <x:v>SO-26016</x:v>
      </x:c>
      <x:c r="B32" s="71" t="str">
        <x:v>Sample Customer A</x:v>
      </x:c>
      <x:c r="C32" s="71" t="str">
        <x:v>FG-023</x:v>
      </x:c>
      <x:c r="D32" s="71" t="str">
        <x:v>Guard Black Product</x:v>
      </x:c>
      <x:c r="E32" s="72" t="n">
        <x:v>50</x:v>
      </x:c>
      <x:c r="F32" s="72" t="n">
        <x:v>46272</x:v>
      </x:c>
      <x:c r="G32" s="72" t="str">
        <x:v>High</x:v>
      </x:c>
      <x:c r="H32" s="72" t="n">
        <x:f>'README'!$B$13</x:f>
        <x:v>250</x:v>
      </x:c>
      <x:c r="I32" s="72" t="n">
        <x:f>CEILING(E32/H32,1)</x:f>
        <x:v>1</x:v>
      </x:c>
      <x:c r="J32" s="71" t="str">
        <x:f>IF(COUNTIFS('Material_Requirements'!$A$2:$A$626,A32,'Material_Requirements'!$P$2:$P$626,"SHORT")&gt;0,"AT RISK",IF(COUNTIFS('Material_Requirements'!$A$2:$A$626,A32,'Material_Requirements'!$P$2:$P$626,"BELOW TARGET")&gt;0,"WATCH","READY"))</x:f>
        <x:v>AT RISK</x:v>
      </x:c>
      <x:c r="K32" s="71" t="n">
        <x:f>F32-'README'!$B$14</x:f>
        <x:v>18</x:v>
      </x:c>
      <x:c r="L32" s="71" t="str">
        <x:f>IF(J32="AT RISK","EXPEDITE MATERIAL",IF(J32="WATCH","REVIEW COVERAGE",IF(K32&lt;=7,"SCHEDULE NOW",IF(K32&lt;=14,"NEXT UP","FUTURE"))))</x:f>
        <x:v>EXPEDITE MATERIAL</x:v>
      </x:c>
    </x:row>
    <x:row r="33" ht="15" customHeight="1">
      <x:c r="A33" s="71" t="str">
        <x:v>SO-26003</x:v>
      </x:c>
      <x:c r="B33" s="71" t="str">
        <x:v>Sample Customer A</x:v>
      </x:c>
      <x:c r="C33" s="71" t="str">
        <x:v>FG-017</x:v>
      </x:c>
      <x:c r="D33" s="71" t="str">
        <x:v>Shield Black Product</x:v>
      </x:c>
      <x:c r="E33" s="72" t="n">
        <x:v>40</x:v>
      </x:c>
      <x:c r="F33" s="72" t="n">
        <x:v>46272</x:v>
      </x:c>
      <x:c r="G33" s="72" t="str">
        <x:v>Normal</x:v>
      </x:c>
      <x:c r="H33" s="72" t="n">
        <x:f>'README'!$B$13</x:f>
        <x:v>250</x:v>
      </x:c>
      <x:c r="I33" s="72" t="n">
        <x:f>CEILING(E33/H33,1)</x:f>
        <x:v>1</x:v>
      </x:c>
      <x:c r="J33" s="71" t="str">
        <x:f>IF(COUNTIFS('Material_Requirements'!$A$2:$A$626,A33,'Material_Requirements'!$P$2:$P$626,"SHORT")&gt;0,"AT RISK",IF(COUNTIFS('Material_Requirements'!$A$2:$A$626,A33,'Material_Requirements'!$P$2:$P$626,"BELOW TARGET")&gt;0,"WATCH","READY"))</x:f>
        <x:v>AT RISK</x:v>
      </x:c>
      <x:c r="K33" s="71" t="n">
        <x:f>F33-'README'!$B$14</x:f>
        <x:v>18</x:v>
      </x:c>
      <x:c r="L33" s="71" t="str">
        <x:f>IF(J33="AT RISK","EXPEDITE MATERIAL",IF(J33="WATCH","REVIEW COVERAGE",IF(K33&lt;=7,"SCHEDULE NOW",IF(K33&lt;=14,"NEXT UP","FUTURE"))))</x:f>
        <x:v>EXPEDITE MATERIAL</x:v>
      </x:c>
    </x:row>
    <x:row r="34" ht="15" customHeight="1">
      <x:c r="A34" s="71" t="str">
        <x:v>SO-26005</x:v>
      </x:c>
      <x:c r="B34" s="71" t="str">
        <x:v>Sample Customer D</x:v>
      </x:c>
      <x:c r="C34" s="71" t="str">
        <x:v>FG-014</x:v>
      </x:c>
      <x:c r="D34" s="71" t="str">
        <x:v>Flex Gray Product</x:v>
      </x:c>
      <x:c r="E34" s="72" t="n">
        <x:v>40</x:v>
      </x:c>
      <x:c r="F34" s="72" t="n">
        <x:v>46274</x:v>
      </x:c>
      <x:c r="G34" s="72" t="str">
        <x:v>Normal</x:v>
      </x:c>
      <x:c r="H34" s="72" t="n">
        <x:f>'README'!$B$13</x:f>
        <x:v>250</x:v>
      </x:c>
      <x:c r="I34" s="72" t="n">
        <x:f>CEILING(E34/H34,1)</x:f>
        <x:v>1</x:v>
      </x:c>
      <x:c r="J34" s="71" t="str">
        <x:f>IF(COUNTIFS('Material_Requirements'!$A$2:$A$626,A34,'Material_Requirements'!$P$2:$P$626,"SHORT")&gt;0,"AT RISK",IF(COUNTIFS('Material_Requirements'!$A$2:$A$626,A34,'Material_Requirements'!$P$2:$P$626,"BELOW TARGET")&gt;0,"WATCH","READY"))</x:f>
        <x:v>AT RISK</x:v>
      </x:c>
      <x:c r="K34" s="71" t="n">
        <x:f>F34-'README'!$B$14</x:f>
        <x:v>20</x:v>
      </x:c>
      <x:c r="L34" s="71" t="str">
        <x:f>IF(J34="AT RISK","EXPEDITE MATERIAL",IF(J34="WATCH","REVIEW COVERAGE",IF(K34&lt;=7,"SCHEDULE NOW",IF(K34&lt;=14,"NEXT UP","FUTURE"))))</x:f>
        <x:v>EXPEDITE MATERIAL</x:v>
      </x:c>
    </x:row>
    <x:row r="35" ht="15" customHeight="1">
      <x:c r="A35" s="71" t="str">
        <x:v>SO-26047</x:v>
      </x:c>
      <x:c r="B35" s="71" t="str">
        <x:v>Sample Customer E</x:v>
      </x:c>
      <x:c r="C35" s="71" t="str">
        <x:v>FG-015</x:v>
      </x:c>
      <x:c r="D35" s="71" t="str">
        <x:v>Guard Tan Product</x:v>
      </x:c>
      <x:c r="E35" s="72" t="n">
        <x:v>60</x:v>
      </x:c>
      <x:c r="F35" s="72" t="n">
        <x:v>46274</x:v>
      </x:c>
      <x:c r="G35" s="72" t="str">
        <x:v>Normal</x:v>
      </x:c>
      <x:c r="H35" s="72" t="n">
        <x:f>'README'!$B$13</x:f>
        <x:v>250</x:v>
      </x:c>
      <x:c r="I35" s="72" t="n">
        <x:f>CEILING(E35/H35,1)</x:f>
        <x:v>1</x:v>
      </x:c>
      <x:c r="J35" s="71" t="str">
        <x:f>IF(COUNTIFS('Material_Requirements'!$A$2:$A$626,A35,'Material_Requirements'!$P$2:$P$626,"SHORT")&gt;0,"AT RISK",IF(COUNTIFS('Material_Requirements'!$A$2:$A$626,A35,'Material_Requirements'!$P$2:$P$626,"BELOW TARGET")&gt;0,"WATCH","READY"))</x:f>
        <x:v>AT RISK</x:v>
      </x:c>
      <x:c r="K35" s="71" t="n">
        <x:f>F35-'README'!$B$14</x:f>
        <x:v>20</x:v>
      </x:c>
      <x:c r="L35" s="71" t="str">
        <x:f>IF(J35="AT RISK","EXPEDITE MATERIAL",IF(J35="WATCH","REVIEW COVERAGE",IF(K35&lt;=7,"SCHEDULE NOW",IF(K35&lt;=14,"NEXT UP","FUTURE"))))</x:f>
        <x:v>EXPEDITE MATERIAL</x:v>
      </x:c>
    </x:row>
    <x:row r="36" ht="15" customHeight="1">
      <x:c r="A36" s="71" t="str">
        <x:v>SO-26057</x:v>
      </x:c>
      <x:c r="B36" s="71" t="str">
        <x:v>Sample Customer B</x:v>
      </x:c>
      <x:c r="C36" s="71" t="str">
        <x:v>FG-023</x:v>
      </x:c>
      <x:c r="D36" s="71" t="str">
        <x:v>Guard Black Product</x:v>
      </x:c>
      <x:c r="E36" s="72" t="n">
        <x:v>40</x:v>
      </x:c>
      <x:c r="F36" s="72" t="n">
        <x:v>46274</x:v>
      </x:c>
      <x:c r="G36" s="72" t="str">
        <x:v>Normal</x:v>
      </x:c>
      <x:c r="H36" s="72" t="n">
        <x:f>'README'!$B$13</x:f>
        <x:v>250</x:v>
      </x:c>
      <x:c r="I36" s="72" t="n">
        <x:f>CEILING(E36/H36,1)</x:f>
        <x:v>1</x:v>
      </x:c>
      <x:c r="J36" s="71" t="str">
        <x:f>IF(COUNTIFS('Material_Requirements'!$A$2:$A$626,A36,'Material_Requirements'!$P$2:$P$626,"SHORT")&gt;0,"AT RISK",IF(COUNTIFS('Material_Requirements'!$A$2:$A$626,A36,'Material_Requirements'!$P$2:$P$626,"BELOW TARGET")&gt;0,"WATCH","READY"))</x:f>
        <x:v>AT RISK</x:v>
      </x:c>
      <x:c r="K36" s="71" t="n">
        <x:f>F36-'README'!$B$14</x:f>
        <x:v>20</x:v>
      </x:c>
      <x:c r="L36" s="71" t="str">
        <x:f>IF(J36="AT RISK","EXPEDITE MATERIAL",IF(J36="WATCH","REVIEW COVERAGE",IF(K36&lt;=7,"SCHEDULE NOW",IF(K36&lt;=14,"NEXT UP","FUTURE"))))</x:f>
        <x:v>EXPEDITE MATERIAL</x:v>
      </x:c>
    </x:row>
    <x:row r="37" ht="15" customHeight="1">
      <x:c r="A37" s="71" t="str">
        <x:v>SO-26075</x:v>
      </x:c>
      <x:c r="B37" s="71" t="str">
        <x:v>Sample Customer D</x:v>
      </x:c>
      <x:c r="C37" s="71" t="str">
        <x:v>FG-016</x:v>
      </x:c>
      <x:c r="D37" s="71" t="str">
        <x:v>Prime Blue Product</x:v>
      </x:c>
      <x:c r="E37" s="72" t="n">
        <x:v>50</x:v>
      </x:c>
      <x:c r="F37" s="72" t="n">
        <x:v>46274</x:v>
      </x:c>
      <x:c r="G37" s="72" t="str">
        <x:v>Normal</x:v>
      </x:c>
      <x:c r="H37" s="72" t="n">
        <x:f>'README'!$B$13</x:f>
        <x:v>250</x:v>
      </x:c>
      <x:c r="I37" s="72" t="n">
        <x:f>CEILING(E37/H37,1)</x:f>
        <x:v>1</x:v>
      </x:c>
      <x:c r="J37" s="71" t="str">
        <x:f>IF(COUNTIFS('Material_Requirements'!$A$2:$A$626,A37,'Material_Requirements'!$P$2:$P$626,"SHORT")&gt;0,"AT RISK",IF(COUNTIFS('Material_Requirements'!$A$2:$A$626,A37,'Material_Requirements'!$P$2:$P$626,"BELOW TARGET")&gt;0,"WATCH","READY"))</x:f>
        <x:v>AT RISK</x:v>
      </x:c>
      <x:c r="K37" s="71" t="n">
        <x:f>F37-'README'!$B$14</x:f>
        <x:v>20</x:v>
      </x:c>
      <x:c r="L37" s="71" t="str">
        <x:f>IF(J37="AT RISK","EXPEDITE MATERIAL",IF(J37="WATCH","REVIEW COVERAGE",IF(K37&lt;=7,"SCHEDULE NOW",IF(K37&lt;=14,"NEXT UP","FUTURE"))))</x:f>
        <x:v>EXPEDITE MATERIAL</x:v>
      </x:c>
    </x:row>
    <x:row r="38" ht="15" customHeight="1">
      <x:c r="A38" s="71" t="str">
        <x:v>SO-26025</x:v>
      </x:c>
      <x:c r="B38" s="71" t="str">
        <x:v>Sample Customer E</x:v>
      </x:c>
      <x:c r="C38" s="71" t="str">
        <x:v>FG-007</x:v>
      </x:c>
      <x:c r="D38" s="71" t="str">
        <x:v>Guard White Product</x:v>
      </x:c>
      <x:c r="E38" s="72" t="n">
        <x:v>30</x:v>
      </x:c>
      <x:c r="F38" s="72" t="n">
        <x:v>46275</x:v>
      </x:c>
      <x:c r="G38" s="72" t="str">
        <x:v>High</x:v>
      </x:c>
      <x:c r="H38" s="72" t="n">
        <x:f>'README'!$B$13</x:f>
        <x:v>250</x:v>
      </x:c>
      <x:c r="I38" s="72" t="n">
        <x:f>CEILING(E38/H38,1)</x:f>
        <x:v>1</x:v>
      </x:c>
      <x:c r="J38" s="71" t="str">
        <x:f>IF(COUNTIFS('Material_Requirements'!$A$2:$A$626,A38,'Material_Requirements'!$P$2:$P$626,"SHORT")&gt;0,"AT RISK",IF(COUNTIFS('Material_Requirements'!$A$2:$A$626,A38,'Material_Requirements'!$P$2:$P$626,"BELOW TARGET")&gt;0,"WATCH","READY"))</x:f>
        <x:v>AT RISK</x:v>
      </x:c>
      <x:c r="K38" s="71" t="n">
        <x:f>F38-'README'!$B$14</x:f>
        <x:v>21</x:v>
      </x:c>
      <x:c r="L38" s="71" t="str">
        <x:f>IF(J38="AT RISK","EXPEDITE MATERIAL",IF(J38="WATCH","REVIEW COVERAGE",IF(K38&lt;=7,"SCHEDULE NOW",IF(K38&lt;=14,"NEXT UP","FUTURE"))))</x:f>
        <x:v>EXPEDITE MATERIAL</x:v>
      </x:c>
    </x:row>
    <x:row r="39" ht="15" customHeight="1">
      <x:c r="A39" s="71" t="str">
        <x:v>SO-26077</x:v>
      </x:c>
      <x:c r="B39" s="71" t="str">
        <x:v>Sample Customer A</x:v>
      </x:c>
      <x:c r="C39" s="71" t="str">
        <x:v>FG-013</x:v>
      </x:c>
      <x:c r="D39" s="71" t="str">
        <x:v>Shield White Product</x:v>
      </x:c>
      <x:c r="E39" s="72" t="n">
        <x:v>100</x:v>
      </x:c>
      <x:c r="F39" s="72" t="n">
        <x:v>46275</x:v>
      </x:c>
      <x:c r="G39" s="72" t="str">
        <x:v>High</x:v>
      </x:c>
      <x:c r="H39" s="72" t="n">
        <x:f>'README'!$B$13</x:f>
        <x:v>250</x:v>
      </x:c>
      <x:c r="I39" s="72" t="n">
        <x:f>CEILING(E39/H39,1)</x:f>
        <x:v>1</x:v>
      </x:c>
      <x:c r="J39" s="71" t="str">
        <x:f>IF(COUNTIFS('Material_Requirements'!$A$2:$A$626,A39,'Material_Requirements'!$P$2:$P$626,"SHORT")&gt;0,"AT RISK",IF(COUNTIFS('Material_Requirements'!$A$2:$A$626,A39,'Material_Requirements'!$P$2:$P$626,"BELOW TARGET")&gt;0,"WATCH","READY"))</x:f>
        <x:v>AT RISK</x:v>
      </x:c>
      <x:c r="K39" s="71" t="n">
        <x:f>F39-'README'!$B$14</x:f>
        <x:v>21</x:v>
      </x:c>
      <x:c r="L39" s="71" t="str">
        <x:f>IF(J39="AT RISK","EXPEDITE MATERIAL",IF(J39="WATCH","REVIEW COVERAGE",IF(K39&lt;=7,"SCHEDULE NOW",IF(K39&lt;=14,"NEXT UP","FUTURE"))))</x:f>
        <x:v>EXPEDITE MATERIAL</x:v>
      </x:c>
    </x:row>
    <x:row r="40" ht="15" customHeight="1">
      <x:c r="A40" s="71" t="str">
        <x:v>SO-26034</x:v>
      </x:c>
      <x:c r="B40" s="71" t="str">
        <x:v>Sample Customer C</x:v>
      </x:c>
      <x:c r="C40" s="71" t="str">
        <x:v>FG-001</x:v>
      </x:c>
      <x:c r="D40" s="71" t="str">
        <x:v>Shield White Product</x:v>
      </x:c>
      <x:c r="E40" s="72" t="n">
        <x:v>10</x:v>
      </x:c>
      <x:c r="F40" s="72" t="n">
        <x:v>46275</x:v>
      </x:c>
      <x:c r="G40" s="72" t="str">
        <x:v>Normal</x:v>
      </x:c>
      <x:c r="H40" s="72" t="n">
        <x:f>'README'!$B$13</x:f>
        <x:v>250</x:v>
      </x:c>
      <x:c r="I40" s="72" t="n">
        <x:f>CEILING(E40/H40,1)</x:f>
        <x:v>1</x:v>
      </x:c>
      <x:c r="J40" s="71" t="str">
        <x:f>IF(COUNTIFS('Material_Requirements'!$A$2:$A$626,A40,'Material_Requirements'!$P$2:$P$626,"SHORT")&gt;0,"AT RISK",IF(COUNTIFS('Material_Requirements'!$A$2:$A$626,A40,'Material_Requirements'!$P$2:$P$626,"BELOW TARGET")&gt;0,"WATCH","READY"))</x:f>
        <x:v>AT RISK</x:v>
      </x:c>
      <x:c r="K40" s="71" t="n">
        <x:f>F40-'README'!$B$14</x:f>
        <x:v>21</x:v>
      </x:c>
      <x:c r="L40" s="71" t="str">
        <x:f>IF(J40="AT RISK","EXPEDITE MATERIAL",IF(J40="WATCH","REVIEW COVERAGE",IF(K40&lt;=7,"SCHEDULE NOW",IF(K40&lt;=14,"NEXT UP","FUTURE"))))</x:f>
        <x:v>EXPEDITE MATERIAL</x:v>
      </x:c>
    </x:row>
    <x:row r="41" ht="15" customHeight="1">
      <x:c r="A41" s="71" t="str">
        <x:v>SO-26045</x:v>
      </x:c>
      <x:c r="B41" s="71" t="str">
        <x:v>Sample Customer C</x:v>
      </x:c>
      <x:c r="C41" s="71" t="str">
        <x:v>FG-021</x:v>
      </x:c>
      <x:c r="D41" s="71" t="str">
        <x:v>Shield Tan Product</x:v>
      </x:c>
      <x:c r="E41" s="72" t="n">
        <x:v>10</x:v>
      </x:c>
      <x:c r="F41" s="72" t="n">
        <x:v>46275</x:v>
      </x:c>
      <x:c r="G41" s="72" t="str">
        <x:v>Normal</x:v>
      </x:c>
      <x:c r="H41" s="72" t="n">
        <x:f>'README'!$B$13</x:f>
        <x:v>250</x:v>
      </x:c>
      <x:c r="I41" s="72" t="n">
        <x:f>CEILING(E41/H41,1)</x:f>
        <x:v>1</x:v>
      </x:c>
      <x:c r="J41" s="71" t="str">
        <x:f>IF(COUNTIFS('Material_Requirements'!$A$2:$A$626,A41,'Material_Requirements'!$P$2:$P$626,"SHORT")&gt;0,"AT RISK",IF(COUNTIFS('Material_Requirements'!$A$2:$A$626,A41,'Material_Requirements'!$P$2:$P$626,"BELOW TARGET")&gt;0,"WATCH","READY"))</x:f>
        <x:v>AT RISK</x:v>
      </x:c>
      <x:c r="K41" s="71" t="n">
        <x:f>F41-'README'!$B$14</x:f>
        <x:v>21</x:v>
      </x:c>
      <x:c r="L41" s="71" t="str">
        <x:f>IF(J41="AT RISK","EXPEDITE MATERIAL",IF(J41="WATCH","REVIEW COVERAGE",IF(K41&lt;=7,"SCHEDULE NOW",IF(K41&lt;=14,"NEXT UP","FUTURE"))))</x:f>
        <x:v>EXPEDITE MATERIAL</x:v>
      </x:c>
    </x:row>
    <x:row r="42" ht="15" customHeight="1">
      <x:c r="A42" s="71" t="str">
        <x:v>SO-26052</x:v>
      </x:c>
      <x:c r="B42" s="71" t="str">
        <x:v>Sample Customer D</x:v>
      </x:c>
      <x:c r="C42" s="71" t="str">
        <x:v>FG-004</x:v>
      </x:c>
      <x:c r="D42" s="71" t="str">
        <x:v>Prime Blue Product</x:v>
      </x:c>
      <x:c r="E42" s="72" t="n">
        <x:v>60</x:v>
      </x:c>
      <x:c r="F42" s="72" t="n">
        <x:v>46275</x:v>
      </x:c>
      <x:c r="G42" s="72" t="str">
        <x:v>Normal</x:v>
      </x:c>
      <x:c r="H42" s="72" t="n">
        <x:f>'README'!$B$13</x:f>
        <x:v>250</x:v>
      </x:c>
      <x:c r="I42" s="72" t="n">
        <x:f>CEILING(E42/H42,1)</x:f>
        <x:v>1</x:v>
      </x:c>
      <x:c r="J42" s="71" t="str">
        <x:f>IF(COUNTIFS('Material_Requirements'!$A$2:$A$626,A42,'Material_Requirements'!$P$2:$P$626,"SHORT")&gt;0,"AT RISK",IF(COUNTIFS('Material_Requirements'!$A$2:$A$626,A42,'Material_Requirements'!$P$2:$P$626,"BELOW TARGET")&gt;0,"WATCH","READY"))</x:f>
        <x:v>AT RISK</x:v>
      </x:c>
      <x:c r="K42" s="71" t="n">
        <x:f>F42-'README'!$B$14</x:f>
        <x:v>21</x:v>
      </x:c>
      <x:c r="L42" s="71" t="str">
        <x:f>IF(J42="AT RISK","EXPEDITE MATERIAL",IF(J42="WATCH","REVIEW COVERAGE",IF(K42&lt;=7,"SCHEDULE NOW",IF(K42&lt;=14,"NEXT UP","FUTURE"))))</x:f>
        <x:v>EXPEDITE MATERIAL</x:v>
      </x:c>
    </x:row>
    <x:row r="43" ht="15" customHeight="1">
      <x:c r="A43" s="71" t="str">
        <x:v>SO-26066</x:v>
      </x:c>
      <x:c r="B43" s="71" t="str">
        <x:v>Sample Customer C</x:v>
      </x:c>
      <x:c r="C43" s="71" t="str">
        <x:v>FG-002</x:v>
      </x:c>
      <x:c r="D43" s="71" t="str">
        <x:v>Flex Gray Product</x:v>
      </x:c>
      <x:c r="E43" s="72" t="n">
        <x:v>40</x:v>
      </x:c>
      <x:c r="F43" s="72" t="n">
        <x:v>46275</x:v>
      </x:c>
      <x:c r="G43" s="72" t="str">
        <x:v>Normal</x:v>
      </x:c>
      <x:c r="H43" s="72" t="n">
        <x:f>'README'!$B$13</x:f>
        <x:v>250</x:v>
      </x:c>
      <x:c r="I43" s="72" t="n">
        <x:f>CEILING(E43/H43,1)</x:f>
        <x:v>1</x:v>
      </x:c>
      <x:c r="J43" s="71" t="str">
        <x:f>IF(COUNTIFS('Material_Requirements'!$A$2:$A$626,A43,'Material_Requirements'!$P$2:$P$626,"SHORT")&gt;0,"AT RISK",IF(COUNTIFS('Material_Requirements'!$A$2:$A$626,A43,'Material_Requirements'!$P$2:$P$626,"BELOW TARGET")&gt;0,"WATCH","READY"))</x:f>
        <x:v>AT RISK</x:v>
      </x:c>
      <x:c r="K43" s="71" t="n">
        <x:f>F43-'README'!$B$14</x:f>
        <x:v>21</x:v>
      </x:c>
      <x:c r="L43" s="71" t="str">
        <x:f>IF(J43="AT RISK","EXPEDITE MATERIAL",IF(J43="WATCH","REVIEW COVERAGE",IF(K43&lt;=7,"SCHEDULE NOW",IF(K43&lt;=14,"NEXT UP","FUTURE"))))</x:f>
        <x:v>EXPEDITE MATERIAL</x:v>
      </x:c>
    </x:row>
    <x:row r="44" ht="15" customHeight="1">
      <x:c r="A44" s="71" t="str">
        <x:v>SO-26072</x:v>
      </x:c>
      <x:c r="B44" s="71" t="str">
        <x:v>Sample Customer D</x:v>
      </x:c>
      <x:c r="C44" s="71" t="str">
        <x:v>FG-019</x:v>
      </x:c>
      <x:c r="D44" s="71" t="str">
        <x:v>Guard White Product</x:v>
      </x:c>
      <x:c r="E44" s="72" t="n">
        <x:v>100</x:v>
      </x:c>
      <x:c r="F44" s="72" t="n">
        <x:v>46276</x:v>
      </x:c>
      <x:c r="G44" s="72" t="str">
        <x:v>High</x:v>
      </x:c>
      <x:c r="H44" s="72" t="n">
        <x:f>'README'!$B$13</x:f>
        <x:v>250</x:v>
      </x:c>
      <x:c r="I44" s="72" t="n">
        <x:f>CEILING(E44/H44,1)</x:f>
        <x:v>1</x:v>
      </x:c>
      <x:c r="J44" s="71" t="str">
        <x:f>IF(COUNTIFS('Material_Requirements'!$A$2:$A$626,A44,'Material_Requirements'!$P$2:$P$626,"SHORT")&gt;0,"AT RISK",IF(COUNTIFS('Material_Requirements'!$A$2:$A$626,A44,'Material_Requirements'!$P$2:$P$626,"BELOW TARGET")&gt;0,"WATCH","READY"))</x:f>
        <x:v>AT RISK</x:v>
      </x:c>
      <x:c r="K44" s="71" t="n">
        <x:f>F44-'README'!$B$14</x:f>
        <x:v>22</x:v>
      </x:c>
      <x:c r="L44" s="71" t="str">
        <x:f>IF(J44="AT RISK","EXPEDITE MATERIAL",IF(J44="WATCH","REVIEW COVERAGE",IF(K44&lt;=7,"SCHEDULE NOW",IF(K44&lt;=14,"NEXT UP","FUTURE"))))</x:f>
        <x:v>EXPEDITE MATERIAL</x:v>
      </x:c>
    </x:row>
    <x:row r="45" ht="15" customHeight="1">
      <x:c r="A45" s="71" t="str">
        <x:v>SO-26081</x:v>
      </x:c>
      <x:c r="B45" s="71" t="str">
        <x:v>Sample Customer A</x:v>
      </x:c>
      <x:c r="C45" s="71" t="str">
        <x:v>FG-018</x:v>
      </x:c>
      <x:c r="D45" s="71" t="str">
        <x:v>Flex Red Product</x:v>
      </x:c>
      <x:c r="E45" s="72" t="n">
        <x:v>30</x:v>
      </x:c>
      <x:c r="F45" s="72" t="n">
        <x:v>46276</x:v>
      </x:c>
      <x:c r="G45" s="72" t="str">
        <x:v>Normal</x:v>
      </x:c>
      <x:c r="H45" s="72" t="n">
        <x:f>'README'!$B$13</x:f>
        <x:v>250</x:v>
      </x:c>
      <x:c r="I45" s="72" t="n">
        <x:f>CEILING(E45/H45,1)</x:f>
        <x:v>1</x:v>
      </x:c>
      <x:c r="J45" s="71" t="str">
        <x:f>IF(COUNTIFS('Material_Requirements'!$A$2:$A$626,A45,'Material_Requirements'!$P$2:$P$626,"SHORT")&gt;0,"AT RISK",IF(COUNTIFS('Material_Requirements'!$A$2:$A$626,A45,'Material_Requirements'!$P$2:$P$626,"BELOW TARGET")&gt;0,"WATCH","READY"))</x:f>
        <x:v>AT RISK</x:v>
      </x:c>
      <x:c r="K45" s="71" t="n">
        <x:f>F45-'README'!$B$14</x:f>
        <x:v>22</x:v>
      </x:c>
      <x:c r="L45" s="71" t="str">
        <x:f>IF(J45="AT RISK","EXPEDITE MATERIAL",IF(J45="WATCH","REVIEW COVERAGE",IF(K45&lt;=7,"SCHEDULE NOW",IF(K45&lt;=14,"NEXT UP","FUTURE"))))</x:f>
        <x:v>EXPEDITE MATERIAL</x:v>
      </x:c>
    </x:row>
    <x:row r="46" ht="15" customHeight="1">
      <x:c r="A46" s="71" t="str">
        <x:v>SO-26046</x:v>
      </x:c>
      <x:c r="B46" s="71" t="str">
        <x:v>Sample Customer A</x:v>
      </x:c>
      <x:c r="C46" s="71" t="str">
        <x:v>FG-017</x:v>
      </x:c>
      <x:c r="D46" s="71" t="str">
        <x:v>Shield Black Product</x:v>
      </x:c>
      <x:c r="E46" s="72" t="n">
        <x:v>40</x:v>
      </x:c>
      <x:c r="F46" s="72" t="n">
        <x:v>46278</x:v>
      </x:c>
      <x:c r="G46" s="72" t="str">
        <x:v>Normal</x:v>
      </x:c>
      <x:c r="H46" s="72" t="n">
        <x:f>'README'!$B$13</x:f>
        <x:v>250</x:v>
      </x:c>
      <x:c r="I46" s="72" t="n">
        <x:f>CEILING(E46/H46,1)</x:f>
        <x:v>1</x:v>
      </x:c>
      <x:c r="J46" s="71" t="str">
        <x:f>IF(COUNTIFS('Material_Requirements'!$A$2:$A$626,A46,'Material_Requirements'!$P$2:$P$626,"SHORT")&gt;0,"AT RISK",IF(COUNTIFS('Material_Requirements'!$A$2:$A$626,A46,'Material_Requirements'!$P$2:$P$626,"BELOW TARGET")&gt;0,"WATCH","READY"))</x:f>
        <x:v>AT RISK</x:v>
      </x:c>
      <x:c r="K46" s="71" t="n">
        <x:f>F46-'README'!$B$14</x:f>
        <x:v>24</x:v>
      </x:c>
      <x:c r="L46" s="71" t="str">
        <x:f>IF(J46="AT RISK","EXPEDITE MATERIAL",IF(J46="WATCH","REVIEW COVERAGE",IF(K46&lt;=7,"SCHEDULE NOW",IF(K46&lt;=14,"NEXT UP","FUTURE"))))</x:f>
        <x:v>EXPEDITE MATERIAL</x:v>
      </x:c>
    </x:row>
    <x:row r="47" ht="15" customHeight="1">
      <x:c r="A47" s="71" t="str">
        <x:v>SO-26076</x:v>
      </x:c>
      <x:c r="B47" s="71" t="str">
        <x:v>Sample Customer C</x:v>
      </x:c>
      <x:c r="C47" s="71" t="str">
        <x:v>FG-019</x:v>
      </x:c>
      <x:c r="D47" s="71" t="str">
        <x:v>Guard White Product</x:v>
      </x:c>
      <x:c r="E47" s="72" t="n">
        <x:v>50</x:v>
      </x:c>
      <x:c r="F47" s="72" t="n">
        <x:v>46278</x:v>
      </x:c>
      <x:c r="G47" s="72" t="str">
        <x:v>Normal</x:v>
      </x:c>
      <x:c r="H47" s="72" t="n">
        <x:f>'README'!$B$13</x:f>
        <x:v>250</x:v>
      </x:c>
      <x:c r="I47" s="72" t="n">
        <x:f>CEILING(E47/H47,1)</x:f>
        <x:v>1</x:v>
      </x:c>
      <x:c r="J47" s="71" t="str">
        <x:f>IF(COUNTIFS('Material_Requirements'!$A$2:$A$626,A47,'Material_Requirements'!$P$2:$P$626,"SHORT")&gt;0,"AT RISK",IF(COUNTIFS('Material_Requirements'!$A$2:$A$626,A47,'Material_Requirements'!$P$2:$P$626,"BELOW TARGET")&gt;0,"WATCH","READY"))</x:f>
        <x:v>AT RISK</x:v>
      </x:c>
      <x:c r="K47" s="71" t="n">
        <x:f>F47-'README'!$B$14</x:f>
        <x:v>24</x:v>
      </x:c>
      <x:c r="L47" s="71" t="str">
        <x:f>IF(J47="AT RISK","EXPEDITE MATERIAL",IF(J47="WATCH","REVIEW COVERAGE",IF(K47&lt;=7,"SCHEDULE NOW",IF(K47&lt;=14,"NEXT UP","FUTURE"))))</x:f>
        <x:v>EXPEDITE MATERIAL</x:v>
      </x:c>
    </x:row>
    <x:row r="48" ht="15" customHeight="1">
      <x:c r="A48" s="71" t="str">
        <x:v>SO-26008</x:v>
      </x:c>
      <x:c r="B48" s="71" t="str">
        <x:v>Sample Customer D</x:v>
      </x:c>
      <x:c r="C48" s="71" t="str">
        <x:v>FG-001</x:v>
      </x:c>
      <x:c r="D48" s="71" t="str">
        <x:v>Shield White Product</x:v>
      </x:c>
      <x:c r="E48" s="72" t="n">
        <x:v>50</x:v>
      </x:c>
      <x:c r="F48" s="72" t="n">
        <x:v>46280</x:v>
      </x:c>
      <x:c r="G48" s="72" t="str">
        <x:v>Normal</x:v>
      </x:c>
      <x:c r="H48" s="72" t="n">
        <x:f>'README'!$B$13</x:f>
        <x:v>250</x:v>
      </x:c>
      <x:c r="I48" s="72" t="n">
        <x:f>CEILING(E48/H48,1)</x:f>
        <x:v>1</x:v>
      </x:c>
      <x:c r="J48" s="71" t="str">
        <x:f>IF(COUNTIFS('Material_Requirements'!$A$2:$A$626,A48,'Material_Requirements'!$P$2:$P$626,"SHORT")&gt;0,"AT RISK",IF(COUNTIFS('Material_Requirements'!$A$2:$A$626,A48,'Material_Requirements'!$P$2:$P$626,"BELOW TARGET")&gt;0,"WATCH","READY"))</x:f>
        <x:v>AT RISK</x:v>
      </x:c>
      <x:c r="K48" s="71" t="n">
        <x:f>F48-'README'!$B$14</x:f>
        <x:v>26</x:v>
      </x:c>
      <x:c r="L48" s="71" t="str">
        <x:f>IF(J48="AT RISK","EXPEDITE MATERIAL",IF(J48="WATCH","REVIEW COVERAGE",IF(K48&lt;=7,"SCHEDULE NOW",IF(K48&lt;=14,"NEXT UP","FUTURE"))))</x:f>
        <x:v>EXPEDITE MATERIAL</x:v>
      </x:c>
    </x:row>
    <x:row r="49" ht="15" customHeight="1">
      <x:c r="A49" s="71" t="str">
        <x:v>SO-26023</x:v>
      </x:c>
      <x:c r="B49" s="71" t="str">
        <x:v>Sample Customer B</x:v>
      </x:c>
      <x:c r="C49" s="71" t="str">
        <x:v>FG-010</x:v>
      </x:c>
      <x:c r="D49" s="71" t="str">
        <x:v>Flex Blue Product</x:v>
      </x:c>
      <x:c r="E49" s="72" t="n">
        <x:v>60</x:v>
      </x:c>
      <x:c r="F49" s="72" t="n">
        <x:v>46280</x:v>
      </x:c>
      <x:c r="G49" s="72" t="str">
        <x:v>Normal</x:v>
      </x:c>
      <x:c r="H49" s="72" t="n">
        <x:f>'README'!$B$13</x:f>
        <x:v>250</x:v>
      </x:c>
      <x:c r="I49" s="72" t="n">
        <x:f>CEILING(E49/H49,1)</x:f>
        <x:v>1</x:v>
      </x:c>
      <x:c r="J49" s="71" t="str">
        <x:f>IF(COUNTIFS('Material_Requirements'!$A$2:$A$626,A49,'Material_Requirements'!$P$2:$P$626,"SHORT")&gt;0,"AT RISK",IF(COUNTIFS('Material_Requirements'!$A$2:$A$626,A49,'Material_Requirements'!$P$2:$P$626,"BELOW TARGET")&gt;0,"WATCH","READY"))</x:f>
        <x:v>AT RISK</x:v>
      </x:c>
      <x:c r="K49" s="71" t="n">
        <x:f>F49-'README'!$B$14</x:f>
        <x:v>26</x:v>
      </x:c>
      <x:c r="L49" s="71" t="str">
        <x:f>IF(J49="AT RISK","EXPEDITE MATERIAL",IF(J49="WATCH","REVIEW COVERAGE",IF(K49&lt;=7,"SCHEDULE NOW",IF(K49&lt;=14,"NEXT UP","FUTURE"))))</x:f>
        <x:v>EXPEDITE MATERIAL</x:v>
      </x:c>
    </x:row>
    <x:row r="50" ht="15" customHeight="1">
      <x:c r="A50" s="71" t="str">
        <x:v>SO-26053</x:v>
      </x:c>
      <x:c r="B50" s="71" t="str">
        <x:v>Sample Customer B</x:v>
      </x:c>
      <x:c r="C50" s="71" t="str">
        <x:v>FG-011</x:v>
      </x:c>
      <x:c r="D50" s="71" t="str">
        <x:v>Guard Black Product</x:v>
      </x:c>
      <x:c r="E50" s="72" t="n">
        <x:v>40</x:v>
      </x:c>
      <x:c r="F50" s="72" t="n">
        <x:v>46280</x:v>
      </x:c>
      <x:c r="G50" s="72" t="str">
        <x:v>Normal</x:v>
      </x:c>
      <x:c r="H50" s="72" t="n">
        <x:f>'README'!$B$13</x:f>
        <x:v>250</x:v>
      </x:c>
      <x:c r="I50" s="72" t="n">
        <x:f>CEILING(E50/H50,1)</x:f>
        <x:v>1</x:v>
      </x:c>
      <x:c r="J50" s="71" t="str">
        <x:f>IF(COUNTIFS('Material_Requirements'!$A$2:$A$626,A50,'Material_Requirements'!$P$2:$P$626,"SHORT")&gt;0,"AT RISK",IF(COUNTIFS('Material_Requirements'!$A$2:$A$626,A50,'Material_Requirements'!$P$2:$P$626,"BELOW TARGET")&gt;0,"WATCH","READY"))</x:f>
        <x:v>AT RISK</x:v>
      </x:c>
      <x:c r="K50" s="71" t="n">
        <x:f>F50-'README'!$B$14</x:f>
        <x:v>26</x:v>
      </x:c>
      <x:c r="L50" s="71" t="str">
        <x:f>IF(J50="AT RISK","EXPEDITE MATERIAL",IF(J50="WATCH","REVIEW COVERAGE",IF(K50&lt;=7,"SCHEDULE NOW",IF(K50&lt;=14,"NEXT UP","FUTURE"))))</x:f>
        <x:v>EXPEDITE MATERIAL</x:v>
      </x:c>
    </x:row>
    <x:row r="51" ht="15" customHeight="1">
      <x:c r="A51" s="71" t="str">
        <x:v>SO-26080</x:v>
      </x:c>
      <x:c r="B51" s="71" t="str">
        <x:v>Sample Customer A</x:v>
      </x:c>
      <x:c r="C51" s="71" t="str">
        <x:v>FG-006</x:v>
      </x:c>
      <x:c r="D51" s="71" t="str">
        <x:v>Flex Red Product</x:v>
      </x:c>
      <x:c r="E51" s="72" t="n">
        <x:v>100</x:v>
      </x:c>
      <x:c r="F51" s="72" t="n">
        <x:v>46280</x:v>
      </x:c>
      <x:c r="G51" s="72" t="str">
        <x:v>Normal</x:v>
      </x:c>
      <x:c r="H51" s="72" t="n">
        <x:f>'README'!$B$13</x:f>
        <x:v>250</x:v>
      </x:c>
      <x:c r="I51" s="72" t="n">
        <x:f>CEILING(E51/H51,1)</x:f>
        <x:v>1</x:v>
      </x:c>
      <x:c r="J51" s="71" t="str">
        <x:f>IF(COUNTIFS('Material_Requirements'!$A$2:$A$626,A51,'Material_Requirements'!$P$2:$P$626,"SHORT")&gt;0,"AT RISK",IF(COUNTIFS('Material_Requirements'!$A$2:$A$626,A51,'Material_Requirements'!$P$2:$P$626,"BELOW TARGET")&gt;0,"WATCH","READY"))</x:f>
        <x:v>AT RISK</x:v>
      </x:c>
      <x:c r="K51" s="71" t="n">
        <x:f>F51-'README'!$B$14</x:f>
        <x:v>26</x:v>
      </x:c>
      <x:c r="L51" s="71" t="str">
        <x:f>IF(J51="AT RISK","EXPEDITE MATERIAL",IF(J51="WATCH","REVIEW COVERAGE",IF(K51&lt;=7,"SCHEDULE NOW",IF(K51&lt;=14,"NEXT UP","FUTURE"))))</x:f>
        <x:v>EXPEDITE MATERIAL</x:v>
      </x:c>
    </x:row>
    <x:row r="52" ht="15" customHeight="1">
      <x:c r="A52" s="71" t="str">
        <x:v>SO-26086</x:v>
      </x:c>
      <x:c r="B52" s="71" t="str">
        <x:v>Sample Customer B</x:v>
      </x:c>
      <x:c r="C52" s="71" t="str">
        <x:v>FG-014</x:v>
      </x:c>
      <x:c r="D52" s="71" t="str">
        <x:v>Flex Gray Product</x:v>
      </x:c>
      <x:c r="E52" s="72" t="n">
        <x:v>10</x:v>
      </x:c>
      <x:c r="F52" s="72" t="n">
        <x:v>46280</x:v>
      </x:c>
      <x:c r="G52" s="72" t="str">
        <x:v>Normal</x:v>
      </x:c>
      <x:c r="H52" s="72" t="n">
        <x:f>'README'!$B$13</x:f>
        <x:v>250</x:v>
      </x:c>
      <x:c r="I52" s="72" t="n">
        <x:f>CEILING(E52/H52,1)</x:f>
        <x:v>1</x:v>
      </x:c>
      <x:c r="J52" s="71" t="str">
        <x:f>IF(COUNTIFS('Material_Requirements'!$A$2:$A$626,A52,'Material_Requirements'!$P$2:$P$626,"SHORT")&gt;0,"AT RISK",IF(COUNTIFS('Material_Requirements'!$A$2:$A$626,A52,'Material_Requirements'!$P$2:$P$626,"BELOW TARGET")&gt;0,"WATCH","READY"))</x:f>
        <x:v>AT RISK</x:v>
      </x:c>
      <x:c r="K52" s="71" t="n">
        <x:f>F52-'README'!$B$14</x:f>
        <x:v>26</x:v>
      </x:c>
      <x:c r="L52" s="71" t="str">
        <x:f>IF(J52="AT RISK","EXPEDITE MATERIAL",IF(J52="WATCH","REVIEW COVERAGE",IF(K52&lt;=7,"SCHEDULE NOW",IF(K52&lt;=14,"NEXT UP","FUTURE"))))</x:f>
        <x:v>EXPEDITE MATERIAL</x:v>
      </x:c>
    </x:row>
    <x:row r="53" ht="15" customHeight="1">
      <x:c r="A53" s="71" t="str">
        <x:v>SO-26013</x:v>
      </x:c>
      <x:c r="B53" s="71" t="str">
        <x:v>Sample Customer E</x:v>
      </x:c>
      <x:c r="C53" s="71" t="str">
        <x:v>FG-001</x:v>
      </x:c>
      <x:c r="D53" s="71" t="str">
        <x:v>Shield White Product</x:v>
      </x:c>
      <x:c r="E53" s="72" t="n">
        <x:v>80</x:v>
      </x:c>
      <x:c r="F53" s="72" t="n">
        <x:v>46281</x:v>
      </x:c>
      <x:c r="G53" s="72" t="str">
        <x:v>Normal</x:v>
      </x:c>
      <x:c r="H53" s="72" t="n">
        <x:f>'README'!$B$13</x:f>
        <x:v>250</x:v>
      </x:c>
      <x:c r="I53" s="72" t="n">
        <x:f>CEILING(E53/H53,1)</x:f>
        <x:v>1</x:v>
      </x:c>
      <x:c r="J53" s="71" t="str">
        <x:f>IF(COUNTIFS('Material_Requirements'!$A$2:$A$626,A53,'Material_Requirements'!$P$2:$P$626,"SHORT")&gt;0,"AT RISK",IF(COUNTIFS('Material_Requirements'!$A$2:$A$626,A53,'Material_Requirements'!$P$2:$P$626,"BELOW TARGET")&gt;0,"WATCH","READY"))</x:f>
        <x:v>AT RISK</x:v>
      </x:c>
      <x:c r="K53" s="71" t="n">
        <x:f>F53-'README'!$B$14</x:f>
        <x:v>27</x:v>
      </x:c>
      <x:c r="L53" s="71" t="str">
        <x:f>IF(J53="AT RISK","EXPEDITE MATERIAL",IF(J53="WATCH","REVIEW COVERAGE",IF(K53&lt;=7,"SCHEDULE NOW",IF(K53&lt;=14,"NEXT UP","FUTURE"))))</x:f>
        <x:v>EXPEDITE MATERIAL</x:v>
      </x:c>
    </x:row>
    <x:row r="54" ht="15" customHeight="1">
      <x:c r="A54" s="71" t="str">
        <x:v>SO-26069</x:v>
      </x:c>
      <x:c r="B54" s="71" t="str">
        <x:v>Sample Customer C</x:v>
      </x:c>
      <x:c r="C54" s="71" t="str">
        <x:v>FG-011</x:v>
      </x:c>
      <x:c r="D54" s="71" t="str">
        <x:v>Guard Black Product</x:v>
      </x:c>
      <x:c r="E54" s="72" t="n">
        <x:v>80</x:v>
      </x:c>
      <x:c r="F54" s="72" t="n">
        <x:v>46281</x:v>
      </x:c>
      <x:c r="G54" s="72" t="str">
        <x:v>Normal</x:v>
      </x:c>
      <x:c r="H54" s="72" t="n">
        <x:f>'README'!$B$13</x:f>
        <x:v>250</x:v>
      </x:c>
      <x:c r="I54" s="72" t="n">
        <x:f>CEILING(E54/H54,1)</x:f>
        <x:v>1</x:v>
      </x:c>
      <x:c r="J54" s="71" t="str">
        <x:f>IF(COUNTIFS('Material_Requirements'!$A$2:$A$626,A54,'Material_Requirements'!$P$2:$P$626,"SHORT")&gt;0,"AT RISK",IF(COUNTIFS('Material_Requirements'!$A$2:$A$626,A54,'Material_Requirements'!$P$2:$P$626,"BELOW TARGET")&gt;0,"WATCH","READY"))</x:f>
        <x:v>AT RISK</x:v>
      </x:c>
      <x:c r="K54" s="71" t="n">
        <x:f>F54-'README'!$B$14</x:f>
        <x:v>27</x:v>
      </x:c>
      <x:c r="L54" s="71" t="str">
        <x:f>IF(J54="AT RISK","EXPEDITE MATERIAL",IF(J54="WATCH","REVIEW COVERAGE",IF(K54&lt;=7,"SCHEDULE NOW",IF(K54&lt;=14,"NEXT UP","FUTURE"))))</x:f>
        <x:v>EXPEDITE MATERIAL</x:v>
      </x:c>
    </x:row>
    <x:row r="55" ht="15" customHeight="1">
      <x:c r="A55" s="71" t="str">
        <x:v>SO-26049</x:v>
      </x:c>
      <x:c r="B55" s="71" t="str">
        <x:v>Sample Customer E</x:v>
      </x:c>
      <x:c r="C55" s="71" t="str">
        <x:v>FG-002</x:v>
      </x:c>
      <x:c r="D55" s="71" t="str">
        <x:v>Flex Gray Product</x:v>
      </x:c>
      <x:c r="E55" s="72" t="n">
        <x:v>60</x:v>
      </x:c>
      <x:c r="F55" s="72" t="n">
        <x:v>46282</x:v>
      </x:c>
      <x:c r="G55" s="72" t="str">
        <x:v>Normal</x:v>
      </x:c>
      <x:c r="H55" s="72" t="n">
        <x:f>'README'!$B$13</x:f>
        <x:v>250</x:v>
      </x:c>
      <x:c r="I55" s="72" t="n">
        <x:f>CEILING(E55/H55,1)</x:f>
        <x:v>1</x:v>
      </x:c>
      <x:c r="J55" s="71" t="str">
        <x:f>IF(COUNTIFS('Material_Requirements'!$A$2:$A$626,A55,'Material_Requirements'!$P$2:$P$626,"SHORT")&gt;0,"AT RISK",IF(COUNTIFS('Material_Requirements'!$A$2:$A$626,A55,'Material_Requirements'!$P$2:$P$626,"BELOW TARGET")&gt;0,"WATCH","READY"))</x:f>
        <x:v>AT RISK</x:v>
      </x:c>
      <x:c r="K55" s="71" t="n">
        <x:f>F55-'README'!$B$14</x:f>
        <x:v>28</x:v>
      </x:c>
      <x:c r="L55" s="71" t="str">
        <x:f>IF(J55="AT RISK","EXPEDITE MATERIAL",IF(J55="WATCH","REVIEW COVERAGE",IF(K55&lt;=7,"SCHEDULE NOW",IF(K55&lt;=14,"NEXT UP","FUTURE"))))</x:f>
        <x:v>EXPEDITE MATERIAL</x:v>
      </x:c>
    </x:row>
    <x:row r="56" ht="15" customHeight="1">
      <x:c r="A56" s="71" t="str">
        <x:v>SO-26061</x:v>
      </x:c>
      <x:c r="B56" s="71" t="str">
        <x:v>Sample Customer C</x:v>
      </x:c>
      <x:c r="C56" s="71" t="str">
        <x:v>FG-017</x:v>
      </x:c>
      <x:c r="D56" s="71" t="str">
        <x:v>Shield Black Product</x:v>
      </x:c>
      <x:c r="E56" s="72" t="n">
        <x:v>50</x:v>
      </x:c>
      <x:c r="F56" s="72" t="n">
        <x:v>46282</x:v>
      </x:c>
      <x:c r="G56" s="72" t="str">
        <x:v>Normal</x:v>
      </x:c>
      <x:c r="H56" s="72" t="n">
        <x:f>'README'!$B$13</x:f>
        <x:v>250</x:v>
      </x:c>
      <x:c r="I56" s="72" t="n">
        <x:f>CEILING(E56/H56,1)</x:f>
        <x:v>1</x:v>
      </x:c>
      <x:c r="J56" s="71" t="str">
        <x:f>IF(COUNTIFS('Material_Requirements'!$A$2:$A$626,A56,'Material_Requirements'!$P$2:$P$626,"SHORT")&gt;0,"AT RISK",IF(COUNTIFS('Material_Requirements'!$A$2:$A$626,A56,'Material_Requirements'!$P$2:$P$626,"BELOW TARGET")&gt;0,"WATCH","READY"))</x:f>
        <x:v>AT RISK</x:v>
      </x:c>
      <x:c r="K56" s="71" t="n">
        <x:f>F56-'README'!$B$14</x:f>
        <x:v>28</x:v>
      </x:c>
      <x:c r="L56" s="71" t="str">
        <x:f>IF(J56="AT RISK","EXPEDITE MATERIAL",IF(J56="WATCH","REVIEW COVERAGE",IF(K56&lt;=7,"SCHEDULE NOW",IF(K56&lt;=14,"NEXT UP","FUTURE"))))</x:f>
        <x:v>EXPEDITE MATERIAL</x:v>
      </x:c>
    </x:row>
    <x:row r="57" ht="15" customHeight="1">
      <x:c r="A57" s="71" t="str">
        <x:v>SO-26067</x:v>
      </x:c>
      <x:c r="B57" s="71" t="str">
        <x:v>Sample Customer B</x:v>
      </x:c>
      <x:c r="C57" s="71" t="str">
        <x:v>FG-016</x:v>
      </x:c>
      <x:c r="D57" s="71" t="str">
        <x:v>Prime Blue Product</x:v>
      </x:c>
      <x:c r="E57" s="72" t="n">
        <x:v>100</x:v>
      </x:c>
      <x:c r="F57" s="72" t="n">
        <x:v>46282</x:v>
      </x:c>
      <x:c r="G57" s="72" t="str">
        <x:v>Normal</x:v>
      </x:c>
      <x:c r="H57" s="72" t="n">
        <x:f>'README'!$B$13</x:f>
        <x:v>250</x:v>
      </x:c>
      <x:c r="I57" s="72" t="n">
        <x:f>CEILING(E57/H57,1)</x:f>
        <x:v>1</x:v>
      </x:c>
      <x:c r="J57" s="71" t="str">
        <x:f>IF(COUNTIFS('Material_Requirements'!$A$2:$A$626,A57,'Material_Requirements'!$P$2:$P$626,"SHORT")&gt;0,"AT RISK",IF(COUNTIFS('Material_Requirements'!$A$2:$A$626,A57,'Material_Requirements'!$P$2:$P$626,"BELOW TARGET")&gt;0,"WATCH","READY"))</x:f>
        <x:v>AT RISK</x:v>
      </x:c>
      <x:c r="K57" s="71" t="n">
        <x:f>F57-'README'!$B$14</x:f>
        <x:v>28</x:v>
      </x:c>
      <x:c r="L57" s="71" t="str">
        <x:f>IF(J57="AT RISK","EXPEDITE MATERIAL",IF(J57="WATCH","REVIEW COVERAGE",IF(K57&lt;=7,"SCHEDULE NOW",IF(K57&lt;=14,"NEXT UP","FUTURE"))))</x:f>
        <x:v>EXPEDITE MATERIAL</x:v>
      </x:c>
    </x:row>
    <x:row r="58" ht="15" customHeight="1">
      <x:c r="A58" s="71" t="str">
        <x:v>SO-26068</x:v>
      </x:c>
      <x:c r="B58" s="71" t="str">
        <x:v>Sample Customer C</x:v>
      </x:c>
      <x:c r="C58" s="71" t="str">
        <x:v>FG-003</x:v>
      </x:c>
      <x:c r="D58" s="71" t="str">
        <x:v>Guard Tan Product</x:v>
      </x:c>
      <x:c r="E58" s="72" t="n">
        <x:v>30</x:v>
      </x:c>
      <x:c r="F58" s="72" t="n">
        <x:v>46282</x:v>
      </x:c>
      <x:c r="G58" s="72" t="str">
        <x:v>Normal</x:v>
      </x:c>
      <x:c r="H58" s="72" t="n">
        <x:f>'README'!$B$13</x:f>
        <x:v>250</x:v>
      </x:c>
      <x:c r="I58" s="72" t="n">
        <x:f>CEILING(E58/H58,1)</x:f>
        <x:v>1</x:v>
      </x:c>
      <x:c r="J58" s="71" t="str">
        <x:f>IF(COUNTIFS('Material_Requirements'!$A$2:$A$626,A58,'Material_Requirements'!$P$2:$P$626,"SHORT")&gt;0,"AT RISK",IF(COUNTIFS('Material_Requirements'!$A$2:$A$626,A58,'Material_Requirements'!$P$2:$P$626,"BELOW TARGET")&gt;0,"WATCH","READY"))</x:f>
        <x:v>AT RISK</x:v>
      </x:c>
      <x:c r="K58" s="71" t="n">
        <x:f>F58-'README'!$B$14</x:f>
        <x:v>28</x:v>
      </x:c>
      <x:c r="L58" s="71" t="str">
        <x:f>IF(J58="AT RISK","EXPEDITE MATERIAL",IF(J58="WATCH","REVIEW COVERAGE",IF(K58&lt;=7,"SCHEDULE NOW",IF(K58&lt;=14,"NEXT UP","FUTURE"))))</x:f>
        <x:v>EXPEDITE MATERIAL</x:v>
      </x:c>
    </x:row>
    <x:row r="59" ht="15" customHeight="1">
      <x:c r="A59" s="71" t="str">
        <x:v>SO-26044</x:v>
      </x:c>
      <x:c r="B59" s="71" t="str">
        <x:v>Sample Customer B</x:v>
      </x:c>
      <x:c r="C59" s="71" t="str">
        <x:v>FG-024</x:v>
      </x:c>
      <x:c r="D59" s="71" t="str">
        <x:v>Prime Red Product</x:v>
      </x:c>
      <x:c r="E59" s="72" t="n">
        <x:v>10</x:v>
      </x:c>
      <x:c r="F59" s="72" t="n">
        <x:v>46283</x:v>
      </x:c>
      <x:c r="G59" s="72" t="str">
        <x:v>High</x:v>
      </x:c>
      <x:c r="H59" s="72" t="n">
        <x:f>'README'!$B$13</x:f>
        <x:v>250</x:v>
      </x:c>
      <x:c r="I59" s="72" t="n">
        <x:f>CEILING(E59/H59,1)</x:f>
        <x:v>1</x:v>
      </x:c>
      <x:c r="J59" s="71" t="str">
        <x:f>IF(COUNTIFS('Material_Requirements'!$A$2:$A$626,A59,'Material_Requirements'!$P$2:$P$626,"SHORT")&gt;0,"AT RISK",IF(COUNTIFS('Material_Requirements'!$A$2:$A$626,A59,'Material_Requirements'!$P$2:$P$626,"BELOW TARGET")&gt;0,"WATCH","READY"))</x:f>
        <x:v>AT RISK</x:v>
      </x:c>
      <x:c r="K59" s="71" t="n">
        <x:f>F59-'README'!$B$14</x:f>
        <x:v>29</x:v>
      </x:c>
      <x:c r="L59" s="71" t="str">
        <x:f>IF(J59="AT RISK","EXPEDITE MATERIAL",IF(J59="WATCH","REVIEW COVERAGE",IF(K59&lt;=7,"SCHEDULE NOW",IF(K59&lt;=14,"NEXT UP","FUTURE"))))</x:f>
        <x:v>EXPEDITE MATERIAL</x:v>
      </x:c>
    </x:row>
    <x:row r="60" ht="15" customHeight="1">
      <x:c r="A60" s="71" t="str">
        <x:v>SO-26051</x:v>
      </x:c>
      <x:c r="B60" s="71" t="str">
        <x:v>Sample Customer C</x:v>
      </x:c>
      <x:c r="C60" s="71" t="str">
        <x:v>FG-006</x:v>
      </x:c>
      <x:c r="D60" s="71" t="str">
        <x:v>Flex Red Product</x:v>
      </x:c>
      <x:c r="E60" s="72" t="n">
        <x:v>100</x:v>
      </x:c>
      <x:c r="F60" s="72" t="n">
        <x:v>46283</x:v>
      </x:c>
      <x:c r="G60" s="72" t="str">
        <x:v>High</x:v>
      </x:c>
      <x:c r="H60" s="72" t="n">
        <x:f>'README'!$B$13</x:f>
        <x:v>250</x:v>
      </x:c>
      <x:c r="I60" s="72" t="n">
        <x:f>CEILING(E60/H60,1)</x:f>
        <x:v>1</x:v>
      </x:c>
      <x:c r="J60" s="71" t="str">
        <x:f>IF(COUNTIFS('Material_Requirements'!$A$2:$A$626,A60,'Material_Requirements'!$P$2:$P$626,"SHORT")&gt;0,"AT RISK",IF(COUNTIFS('Material_Requirements'!$A$2:$A$626,A60,'Material_Requirements'!$P$2:$P$626,"BELOW TARGET")&gt;0,"WATCH","READY"))</x:f>
        <x:v>AT RISK</x:v>
      </x:c>
      <x:c r="K60" s="71" t="n">
        <x:f>F60-'README'!$B$14</x:f>
        <x:v>29</x:v>
      </x:c>
      <x:c r="L60" s="71" t="str">
        <x:f>IF(J60="AT RISK","EXPEDITE MATERIAL",IF(J60="WATCH","REVIEW COVERAGE",IF(K60&lt;=7,"SCHEDULE NOW",IF(K60&lt;=14,"NEXT UP","FUTURE"))))</x:f>
        <x:v>EXPEDITE MATERIAL</x:v>
      </x:c>
    </x:row>
    <x:row r="61" ht="15" customHeight="1">
      <x:c r="A61" s="71" t="str">
        <x:v>SO-26063</x:v>
      </x:c>
      <x:c r="B61" s="71" t="str">
        <x:v>Sample Customer E</x:v>
      </x:c>
      <x:c r="C61" s="71" t="str">
        <x:v>FG-022</x:v>
      </x:c>
      <x:c r="D61" s="71" t="str">
        <x:v>Flex Blue Product</x:v>
      </x:c>
      <x:c r="E61" s="72" t="n">
        <x:v>40</x:v>
      </x:c>
      <x:c r="F61" s="72" t="n">
        <x:v>46283</x:v>
      </x:c>
      <x:c r="G61" s="72" t="str">
        <x:v>High</x:v>
      </x:c>
      <x:c r="H61" s="72" t="n">
        <x:f>'README'!$B$13</x:f>
        <x:v>250</x:v>
      </x:c>
      <x:c r="I61" s="72" t="n">
        <x:f>CEILING(E61/H61,1)</x:f>
        <x:v>1</x:v>
      </x:c>
      <x:c r="J61" s="71" t="str">
        <x:f>IF(COUNTIFS('Material_Requirements'!$A$2:$A$626,A61,'Material_Requirements'!$P$2:$P$626,"SHORT")&gt;0,"AT RISK",IF(COUNTIFS('Material_Requirements'!$A$2:$A$626,A61,'Material_Requirements'!$P$2:$P$626,"BELOW TARGET")&gt;0,"WATCH","READY"))</x:f>
        <x:v>AT RISK</x:v>
      </x:c>
      <x:c r="K61" s="71" t="n">
        <x:f>F61-'README'!$B$14</x:f>
        <x:v>29</x:v>
      </x:c>
      <x:c r="L61" s="71" t="str">
        <x:f>IF(J61="AT RISK","EXPEDITE MATERIAL",IF(J61="WATCH","REVIEW COVERAGE",IF(K61&lt;=7,"SCHEDULE NOW",IF(K61&lt;=14,"NEXT UP","FUTURE"))))</x:f>
        <x:v>EXPEDITE MATERIAL</x:v>
      </x:c>
    </x:row>
    <x:row r="62" ht="15" customHeight="1">
      <x:c r="A62" s="71" t="str">
        <x:v>SO-26009</x:v>
      </x:c>
      <x:c r="B62" s="71" t="str">
        <x:v>Sample Customer A</x:v>
      </x:c>
      <x:c r="C62" s="71" t="str">
        <x:v>FG-011</x:v>
      </x:c>
      <x:c r="D62" s="71" t="str">
        <x:v>Guard Black Product</x:v>
      </x:c>
      <x:c r="E62" s="72" t="n">
        <x:v>60</x:v>
      </x:c>
      <x:c r="F62" s="72" t="n">
        <x:v>46283</x:v>
      </x:c>
      <x:c r="G62" s="72" t="str">
        <x:v>Normal</x:v>
      </x:c>
      <x:c r="H62" s="72" t="n">
        <x:f>'README'!$B$13</x:f>
        <x:v>250</x:v>
      </x:c>
      <x:c r="I62" s="72" t="n">
        <x:f>CEILING(E62/H62,1)</x:f>
        <x:v>1</x:v>
      </x:c>
      <x:c r="J62" s="71" t="str">
        <x:f>IF(COUNTIFS('Material_Requirements'!$A$2:$A$626,A62,'Material_Requirements'!$P$2:$P$626,"SHORT")&gt;0,"AT RISK",IF(COUNTIFS('Material_Requirements'!$A$2:$A$626,A62,'Material_Requirements'!$P$2:$P$626,"BELOW TARGET")&gt;0,"WATCH","READY"))</x:f>
        <x:v>AT RISK</x:v>
      </x:c>
      <x:c r="K62" s="71" t="n">
        <x:f>F62-'README'!$B$14</x:f>
        <x:v>29</x:v>
      </x:c>
      <x:c r="L62" s="71" t="str">
        <x:f>IF(J62="AT RISK","EXPEDITE MATERIAL",IF(J62="WATCH","REVIEW COVERAGE",IF(K62&lt;=7,"SCHEDULE NOW",IF(K62&lt;=14,"NEXT UP","FUTURE"))))</x:f>
        <x:v>EXPEDITE MATERIAL</x:v>
      </x:c>
    </x:row>
    <x:row r="63" ht="15" customHeight="1">
      <x:c r="A63" s="71" t="str">
        <x:v>SO-26024</x:v>
      </x:c>
      <x:c r="B63" s="71" t="str">
        <x:v>Sample Customer C</x:v>
      </x:c>
      <x:c r="C63" s="71" t="str">
        <x:v>FG-017</x:v>
      </x:c>
      <x:c r="D63" s="71" t="str">
        <x:v>Shield Black Product</x:v>
      </x:c>
      <x:c r="E63" s="72" t="n">
        <x:v>20</x:v>
      </x:c>
      <x:c r="F63" s="72" t="n">
        <x:v>46284</x:v>
      </x:c>
      <x:c r="G63" s="72" t="str">
        <x:v>Normal</x:v>
      </x:c>
      <x:c r="H63" s="72" t="n">
        <x:f>'README'!$B$13</x:f>
        <x:v>250</x:v>
      </x:c>
      <x:c r="I63" s="72" t="n">
        <x:f>CEILING(E63/H63,1)</x:f>
        <x:v>1</x:v>
      </x:c>
      <x:c r="J63" s="71" t="str">
        <x:f>IF(COUNTIFS('Material_Requirements'!$A$2:$A$626,A63,'Material_Requirements'!$P$2:$P$626,"SHORT")&gt;0,"AT RISK",IF(COUNTIFS('Material_Requirements'!$A$2:$A$626,A63,'Material_Requirements'!$P$2:$P$626,"BELOW TARGET")&gt;0,"WATCH","READY"))</x:f>
        <x:v>AT RISK</x:v>
      </x:c>
      <x:c r="K63" s="71" t="n">
        <x:f>F63-'README'!$B$14</x:f>
        <x:v>30</x:v>
      </x:c>
      <x:c r="L63" s="71" t="str">
        <x:f>IF(J63="AT RISK","EXPEDITE MATERIAL",IF(J63="WATCH","REVIEW COVERAGE",IF(K63&lt;=7,"SCHEDULE NOW",IF(K63&lt;=14,"NEXT UP","FUTURE"))))</x:f>
        <x:v>EXPEDITE MATERIAL</x:v>
      </x:c>
    </x:row>
    <x:row r="64" ht="15" customHeight="1">
      <x:c r="A64" s="71" t="str">
        <x:v>SO-26041</x:v>
      </x:c>
      <x:c r="B64" s="71" t="str">
        <x:v>Sample Customer D</x:v>
      </x:c>
      <x:c r="C64" s="71" t="str">
        <x:v>FG-009</x:v>
      </x:c>
      <x:c r="D64" s="71" t="str">
        <x:v>Shield Tan Product</x:v>
      </x:c>
      <x:c r="E64" s="72" t="n">
        <x:v>50</x:v>
      </x:c>
      <x:c r="F64" s="72" t="n">
        <x:v>46284</x:v>
      </x:c>
      <x:c r="G64" s="72" t="str">
        <x:v>Normal</x:v>
      </x:c>
      <x:c r="H64" s="72" t="n">
        <x:f>'README'!$B$13</x:f>
        <x:v>250</x:v>
      </x:c>
      <x:c r="I64" s="72" t="n">
        <x:f>CEILING(E64/H64,1)</x:f>
        <x:v>1</x:v>
      </x:c>
      <x:c r="J64" s="71" t="str">
        <x:f>IF(COUNTIFS('Material_Requirements'!$A$2:$A$626,A64,'Material_Requirements'!$P$2:$P$626,"SHORT")&gt;0,"AT RISK",IF(COUNTIFS('Material_Requirements'!$A$2:$A$626,A64,'Material_Requirements'!$P$2:$P$626,"BELOW TARGET")&gt;0,"WATCH","READY"))</x:f>
        <x:v>AT RISK</x:v>
      </x:c>
      <x:c r="K64" s="71" t="n">
        <x:f>F64-'README'!$B$14</x:f>
        <x:v>30</x:v>
      </x:c>
      <x:c r="L64" s="71" t="str">
        <x:f>IF(J64="AT RISK","EXPEDITE MATERIAL",IF(J64="WATCH","REVIEW COVERAGE",IF(K64&lt;=7,"SCHEDULE NOW",IF(K64&lt;=14,"NEXT UP","FUTURE"))))</x:f>
        <x:v>EXPEDITE MATERIAL</x:v>
      </x:c>
    </x:row>
    <x:row r="65" ht="15" customHeight="1">
      <x:c r="A65" s="71" t="str">
        <x:v>SO-26026</x:v>
      </x:c>
      <x:c r="B65" s="71" t="str">
        <x:v>Sample Customer D</x:v>
      </x:c>
      <x:c r="C65" s="71" t="str">
        <x:v>FG-022</x:v>
      </x:c>
      <x:c r="D65" s="71" t="str">
        <x:v>Flex Blue Product</x:v>
      </x:c>
      <x:c r="E65" s="72" t="n">
        <x:v>30</x:v>
      </x:c>
      <x:c r="F65" s="72" t="n">
        <x:v>46285</x:v>
      </x:c>
      <x:c r="G65" s="72" t="str">
        <x:v>Normal</x:v>
      </x:c>
      <x:c r="H65" s="72" t="n">
        <x:f>'README'!$B$13</x:f>
        <x:v>250</x:v>
      </x:c>
      <x:c r="I65" s="72" t="n">
        <x:f>CEILING(E65/H65,1)</x:f>
        <x:v>1</x:v>
      </x:c>
      <x:c r="J65" s="71" t="str">
        <x:f>IF(COUNTIFS('Material_Requirements'!$A$2:$A$626,A65,'Material_Requirements'!$P$2:$P$626,"SHORT")&gt;0,"AT RISK",IF(COUNTIFS('Material_Requirements'!$A$2:$A$626,A65,'Material_Requirements'!$P$2:$P$626,"BELOW TARGET")&gt;0,"WATCH","READY"))</x:f>
        <x:v>AT RISK</x:v>
      </x:c>
      <x:c r="K65" s="71" t="n">
        <x:f>F65-'README'!$B$14</x:f>
        <x:v>31</x:v>
      </x:c>
      <x:c r="L65" s="71" t="str">
        <x:f>IF(J65="AT RISK","EXPEDITE MATERIAL",IF(J65="WATCH","REVIEW COVERAGE",IF(K65&lt;=7,"SCHEDULE NOW",IF(K65&lt;=14,"NEXT UP","FUTURE"))))</x:f>
        <x:v>EXPEDITE MATERIAL</x:v>
      </x:c>
    </x:row>
    <x:row r="66" ht="15" customHeight="1">
      <x:c r="A66" s="71" t="str">
        <x:v>SO-26054</x:v>
      </x:c>
      <x:c r="B66" s="71" t="str">
        <x:v>Sample Customer A</x:v>
      </x:c>
      <x:c r="C66" s="71" t="str">
        <x:v>FG-012</x:v>
      </x:c>
      <x:c r="D66" s="71" t="str">
        <x:v>Prime Red Product</x:v>
      </x:c>
      <x:c r="E66" s="72" t="n">
        <x:v>10</x:v>
      </x:c>
      <x:c r="F66" s="72" t="n">
        <x:v>46285</x:v>
      </x:c>
      <x:c r="G66" s="72" t="str">
        <x:v>Normal</x:v>
      </x:c>
      <x:c r="H66" s="72" t="n">
        <x:f>'README'!$B$13</x:f>
        <x:v>250</x:v>
      </x:c>
      <x:c r="I66" s="72" t="n">
        <x:f>CEILING(E66/H66,1)</x:f>
        <x:v>1</x:v>
      </x:c>
      <x:c r="J66" s="71" t="str">
        <x:f>IF(COUNTIFS('Material_Requirements'!$A$2:$A$626,A66,'Material_Requirements'!$P$2:$P$626,"SHORT")&gt;0,"AT RISK",IF(COUNTIFS('Material_Requirements'!$A$2:$A$626,A66,'Material_Requirements'!$P$2:$P$626,"BELOW TARGET")&gt;0,"WATCH","READY"))</x:f>
        <x:v>AT RISK</x:v>
      </x:c>
      <x:c r="K66" s="71" t="n">
        <x:f>F66-'README'!$B$14</x:f>
        <x:v>31</x:v>
      </x:c>
      <x:c r="L66" s="71" t="str">
        <x:f>IF(J66="AT RISK","EXPEDITE MATERIAL",IF(J66="WATCH","REVIEW COVERAGE",IF(K66&lt;=7,"SCHEDULE NOW",IF(K66&lt;=14,"NEXT UP","FUTURE"))))</x:f>
        <x:v>EXPEDITE MATERIAL</x:v>
      </x:c>
    </x:row>
    <x:row r="67" ht="15" customHeight="1">
      <x:c r="A67" s="71" t="str">
        <x:v>SO-26087</x:v>
      </x:c>
      <x:c r="B67" s="71" t="str">
        <x:v>Sample Customer B</x:v>
      </x:c>
      <x:c r="C67" s="71" t="str">
        <x:v>FG-017</x:v>
      </x:c>
      <x:c r="D67" s="71" t="str">
        <x:v>Shield Black Product</x:v>
      </x:c>
      <x:c r="E67" s="72" t="n">
        <x:v>50</x:v>
      </x:c>
      <x:c r="F67" s="72" t="n">
        <x:v>46285</x:v>
      </x:c>
      <x:c r="G67" s="72" t="str">
        <x:v>Normal</x:v>
      </x:c>
      <x:c r="H67" s="72" t="n">
        <x:f>'README'!$B$13</x:f>
        <x:v>250</x:v>
      </x:c>
      <x:c r="I67" s="72" t="n">
        <x:f>CEILING(E67/H67,1)</x:f>
        <x:v>1</x:v>
      </x:c>
      <x:c r="J67" s="71" t="str">
        <x:f>IF(COUNTIFS('Material_Requirements'!$A$2:$A$626,A67,'Material_Requirements'!$P$2:$P$626,"SHORT")&gt;0,"AT RISK",IF(COUNTIFS('Material_Requirements'!$A$2:$A$626,A67,'Material_Requirements'!$P$2:$P$626,"BELOW TARGET")&gt;0,"WATCH","READY"))</x:f>
        <x:v>AT RISK</x:v>
      </x:c>
      <x:c r="K67" s="71" t="n">
        <x:f>F67-'README'!$B$14</x:f>
        <x:v>31</x:v>
      </x:c>
      <x:c r="L67" s="71" t="str">
        <x:f>IF(J67="AT RISK","EXPEDITE MATERIAL",IF(J67="WATCH","REVIEW COVERAGE",IF(K67&lt;=7,"SCHEDULE NOW",IF(K67&lt;=14,"NEXT UP","FUTURE"))))</x:f>
        <x:v>EXPEDITE MATERIAL</x:v>
      </x:c>
    </x:row>
    <x:row r="68" ht="15" customHeight="1">
      <x:c r="A68" s="71" t="str">
        <x:v>SO-26090</x:v>
      </x:c>
      <x:c r="B68" s="71" t="str">
        <x:v>Sample Customer B</x:v>
      </x:c>
      <x:c r="C68" s="71" t="str">
        <x:v>FG-024</x:v>
      </x:c>
      <x:c r="D68" s="71" t="str">
        <x:v>Prime Red Product</x:v>
      </x:c>
      <x:c r="E68" s="72" t="n">
        <x:v>40</x:v>
      </x:c>
      <x:c r="F68" s="72" t="n">
        <x:v>46285</x:v>
      </x:c>
      <x:c r="G68" s="72" t="str">
        <x:v>Normal</x:v>
      </x:c>
      <x:c r="H68" s="72" t="n">
        <x:f>'README'!$B$13</x:f>
        <x:v>250</x:v>
      </x:c>
      <x:c r="I68" s="72" t="n">
        <x:f>CEILING(E68/H68,1)</x:f>
        <x:v>1</x:v>
      </x:c>
      <x:c r="J68" s="71" t="str">
        <x:f>IF(COUNTIFS('Material_Requirements'!$A$2:$A$626,A68,'Material_Requirements'!$P$2:$P$626,"SHORT")&gt;0,"AT RISK",IF(COUNTIFS('Material_Requirements'!$A$2:$A$626,A68,'Material_Requirements'!$P$2:$P$626,"BELOW TARGET")&gt;0,"WATCH","READY"))</x:f>
        <x:v>AT RISK</x:v>
      </x:c>
      <x:c r="K68" s="71" t="n">
        <x:f>F68-'README'!$B$14</x:f>
        <x:v>31</x:v>
      </x:c>
      <x:c r="L68" s="71" t="str">
        <x:f>IF(J68="AT RISK","EXPEDITE MATERIAL",IF(J68="WATCH","REVIEW COVERAGE",IF(K68&lt;=7,"SCHEDULE NOW",IF(K68&lt;=14,"NEXT UP","FUTURE"))))</x:f>
        <x:v>EXPEDITE MATERIAL</x:v>
      </x:c>
    </x:row>
    <x:row r="69" ht="15" customHeight="1">
      <x:c r="A69" s="71" t="str">
        <x:v>SO-26017</x:v>
      </x:c>
      <x:c r="B69" s="71" t="str">
        <x:v>Sample Customer D</x:v>
      </x:c>
      <x:c r="C69" s="71" t="str">
        <x:v>FG-007</x:v>
      </x:c>
      <x:c r="D69" s="71" t="str">
        <x:v>Guard White Product</x:v>
      </x:c>
      <x:c r="E69" s="72" t="n">
        <x:v>100</x:v>
      </x:c>
      <x:c r="F69" s="72" t="n">
        <x:v>46286</x:v>
      </x:c>
      <x:c r="G69" s="72" t="str">
        <x:v>High</x:v>
      </x:c>
      <x:c r="H69" s="72" t="n">
        <x:f>'README'!$B$13</x:f>
        <x:v>250</x:v>
      </x:c>
      <x:c r="I69" s="72" t="n">
        <x:f>CEILING(E69/H69,1)</x:f>
        <x:v>1</x:v>
      </x:c>
      <x:c r="J69" s="71" t="str">
        <x:f>IF(COUNTIFS('Material_Requirements'!$A$2:$A$626,A69,'Material_Requirements'!$P$2:$P$626,"SHORT")&gt;0,"AT RISK",IF(COUNTIFS('Material_Requirements'!$A$2:$A$626,A69,'Material_Requirements'!$P$2:$P$626,"BELOW TARGET")&gt;0,"WATCH","READY"))</x:f>
        <x:v>AT RISK</x:v>
      </x:c>
      <x:c r="K69" s="71" t="n">
        <x:f>F69-'README'!$B$14</x:f>
        <x:v>32</x:v>
      </x:c>
      <x:c r="L69" s="71" t="str">
        <x:f>IF(J69="AT RISK","EXPEDITE MATERIAL",IF(J69="WATCH","REVIEW COVERAGE",IF(K69&lt;=7,"SCHEDULE NOW",IF(K69&lt;=14,"NEXT UP","FUTURE"))))</x:f>
        <x:v>EXPEDITE MATERIAL</x:v>
      </x:c>
    </x:row>
    <x:row r="70" ht="15" customHeight="1">
      <x:c r="A70" s="71" t="str">
        <x:v>SO-26073</x:v>
      </x:c>
      <x:c r="B70" s="71" t="str">
        <x:v>Sample Customer B</x:v>
      </x:c>
      <x:c r="C70" s="71" t="str">
        <x:v>FG-006</x:v>
      </x:c>
      <x:c r="D70" s="71" t="str">
        <x:v>Flex Red Product</x:v>
      </x:c>
      <x:c r="E70" s="72" t="n">
        <x:v>100</x:v>
      </x:c>
      <x:c r="F70" s="72" t="n">
        <x:v>46286</x:v>
      </x:c>
      <x:c r="G70" s="72" t="str">
        <x:v>High</x:v>
      </x:c>
      <x:c r="H70" s="72" t="n">
        <x:f>'README'!$B$13</x:f>
        <x:v>250</x:v>
      </x:c>
      <x:c r="I70" s="72" t="n">
        <x:f>CEILING(E70/H70,1)</x:f>
        <x:v>1</x:v>
      </x:c>
      <x:c r="J70" s="71" t="str">
        <x:f>IF(COUNTIFS('Material_Requirements'!$A$2:$A$626,A70,'Material_Requirements'!$P$2:$P$626,"SHORT")&gt;0,"AT RISK",IF(COUNTIFS('Material_Requirements'!$A$2:$A$626,A70,'Material_Requirements'!$P$2:$P$626,"BELOW TARGET")&gt;0,"WATCH","READY"))</x:f>
        <x:v>AT RISK</x:v>
      </x:c>
      <x:c r="K70" s="71" t="n">
        <x:f>F70-'README'!$B$14</x:f>
        <x:v>32</x:v>
      </x:c>
      <x:c r="L70" s="71" t="str">
        <x:f>IF(J70="AT RISK","EXPEDITE MATERIAL",IF(J70="WATCH","REVIEW COVERAGE",IF(K70&lt;=7,"SCHEDULE NOW",IF(K70&lt;=14,"NEXT UP","FUTURE"))))</x:f>
        <x:v>EXPEDITE MATERIAL</x:v>
      </x:c>
    </x:row>
    <x:row r="71" ht="15" customHeight="1">
      <x:c r="A71" s="71" t="str">
        <x:v>SO-26033</x:v>
      </x:c>
      <x:c r="B71" s="71" t="str">
        <x:v>Sample Customer A</x:v>
      </x:c>
      <x:c r="C71" s="71" t="str">
        <x:v>FG-021</x:v>
      </x:c>
      <x:c r="D71" s="71" t="str">
        <x:v>Shield Tan Product</x:v>
      </x:c>
      <x:c r="E71" s="72" t="n">
        <x:v>20</x:v>
      </x:c>
      <x:c r="F71" s="72" t="n">
        <x:v>46287</x:v>
      </x:c>
      <x:c r="G71" s="72" t="str">
        <x:v>Normal</x:v>
      </x:c>
      <x:c r="H71" s="72" t="n">
        <x:f>'README'!$B$13</x:f>
        <x:v>250</x:v>
      </x:c>
      <x:c r="I71" s="72" t="n">
        <x:f>CEILING(E71/H71,1)</x:f>
        <x:v>1</x:v>
      </x:c>
      <x:c r="J71" s="71" t="str">
        <x:f>IF(COUNTIFS('Material_Requirements'!$A$2:$A$626,A71,'Material_Requirements'!$P$2:$P$626,"SHORT")&gt;0,"AT RISK",IF(COUNTIFS('Material_Requirements'!$A$2:$A$626,A71,'Material_Requirements'!$P$2:$P$626,"BELOW TARGET")&gt;0,"WATCH","READY"))</x:f>
        <x:v>AT RISK</x:v>
      </x:c>
      <x:c r="K71" s="71" t="n">
        <x:f>F71-'README'!$B$14</x:f>
        <x:v>33</x:v>
      </x:c>
      <x:c r="L71" s="71" t="str">
        <x:f>IF(J71="AT RISK","EXPEDITE MATERIAL",IF(J71="WATCH","REVIEW COVERAGE",IF(K71&lt;=7,"SCHEDULE NOW",IF(K71&lt;=14,"NEXT UP","FUTURE"))))</x:f>
        <x:v>EXPEDITE MATERIAL</x:v>
      </x:c>
    </x:row>
    <x:row r="72" ht="15" customHeight="1">
      <x:c r="A72" s="71" t="str">
        <x:v>SO-26010</x:v>
      </x:c>
      <x:c r="B72" s="71" t="str">
        <x:v>Sample Customer B</x:v>
      </x:c>
      <x:c r="C72" s="71" t="str">
        <x:v>FG-003</x:v>
      </x:c>
      <x:c r="D72" s="71" t="str">
        <x:v>Guard Tan Product</x:v>
      </x:c>
      <x:c r="E72" s="72" t="n">
        <x:v>30</x:v>
      </x:c>
      <x:c r="F72" s="72" t="n">
        <x:v>46288</x:v>
      </x:c>
      <x:c r="G72" s="72" t="str">
        <x:v>Normal</x:v>
      </x:c>
      <x:c r="H72" s="72" t="n">
        <x:f>'README'!$B$13</x:f>
        <x:v>250</x:v>
      </x:c>
      <x:c r="I72" s="72" t="n">
        <x:f>CEILING(E72/H72,1)</x:f>
        <x:v>1</x:v>
      </x:c>
      <x:c r="J72" s="71" t="str">
        <x:f>IF(COUNTIFS('Material_Requirements'!$A$2:$A$626,A72,'Material_Requirements'!$P$2:$P$626,"SHORT")&gt;0,"AT RISK",IF(COUNTIFS('Material_Requirements'!$A$2:$A$626,A72,'Material_Requirements'!$P$2:$P$626,"BELOW TARGET")&gt;0,"WATCH","READY"))</x:f>
        <x:v>AT RISK</x:v>
      </x:c>
      <x:c r="K72" s="71" t="n">
        <x:f>F72-'README'!$B$14</x:f>
        <x:v>34</x:v>
      </x:c>
      <x:c r="L72" s="71" t="str">
        <x:f>IF(J72="AT RISK","EXPEDITE MATERIAL",IF(J72="WATCH","REVIEW COVERAGE",IF(K72&lt;=7,"SCHEDULE NOW",IF(K72&lt;=14,"NEXT UP","FUTURE"))))</x:f>
        <x:v>EXPEDITE MATERIAL</x:v>
      </x:c>
    </x:row>
    <x:row r="73" ht="15" customHeight="1">
      <x:c r="A73" s="71" t="str">
        <x:v>SO-26042</x:v>
      </x:c>
      <x:c r="B73" s="71" t="str">
        <x:v>Sample Customer B</x:v>
      </x:c>
      <x:c r="C73" s="71" t="str">
        <x:v>FG-019</x:v>
      </x:c>
      <x:c r="D73" s="71" t="str">
        <x:v>Guard White Product</x:v>
      </x:c>
      <x:c r="E73" s="72" t="n">
        <x:v>50</x:v>
      </x:c>
      <x:c r="F73" s="72" t="n">
        <x:v>46288</x:v>
      </x:c>
      <x:c r="G73" s="72" t="str">
        <x:v>Normal</x:v>
      </x:c>
      <x:c r="H73" s="72" t="n">
        <x:f>'README'!$B$13</x:f>
        <x:v>250</x:v>
      </x:c>
      <x:c r="I73" s="72" t="n">
        <x:f>CEILING(E73/H73,1)</x:f>
        <x:v>1</x:v>
      </x:c>
      <x:c r="J73" s="71" t="str">
        <x:f>IF(COUNTIFS('Material_Requirements'!$A$2:$A$626,A73,'Material_Requirements'!$P$2:$P$626,"SHORT")&gt;0,"AT RISK",IF(COUNTIFS('Material_Requirements'!$A$2:$A$626,A73,'Material_Requirements'!$P$2:$P$626,"BELOW TARGET")&gt;0,"WATCH","READY"))</x:f>
        <x:v>AT RISK</x:v>
      </x:c>
      <x:c r="K73" s="71" t="n">
        <x:f>F73-'README'!$B$14</x:f>
        <x:v>34</x:v>
      </x:c>
      <x:c r="L73" s="71" t="str">
        <x:f>IF(J73="AT RISK","EXPEDITE MATERIAL",IF(J73="WATCH","REVIEW COVERAGE",IF(K73&lt;=7,"SCHEDULE NOW",IF(K73&lt;=14,"NEXT UP","FUTURE"))))</x:f>
        <x:v>EXPEDITE MATERIAL</x:v>
      </x:c>
    </x:row>
    <x:row r="74" ht="15" customHeight="1">
      <x:c r="A74" s="71" t="str">
        <x:v>SO-26062</x:v>
      </x:c>
      <x:c r="B74" s="71" t="str">
        <x:v>Sample Customer A</x:v>
      </x:c>
      <x:c r="C74" s="71" t="str">
        <x:v>FG-003</x:v>
      </x:c>
      <x:c r="D74" s="71" t="str">
        <x:v>Guard Tan Product</x:v>
      </x:c>
      <x:c r="E74" s="72" t="n">
        <x:v>80</x:v>
      </x:c>
      <x:c r="F74" s="72" t="n">
        <x:v>46288</x:v>
      </x:c>
      <x:c r="G74" s="72" t="str">
        <x:v>Normal</x:v>
      </x:c>
      <x:c r="H74" s="72" t="n">
        <x:f>'README'!$B$13</x:f>
        <x:v>250</x:v>
      </x:c>
      <x:c r="I74" s="72" t="n">
        <x:f>CEILING(E74/H74,1)</x:f>
        <x:v>1</x:v>
      </x:c>
      <x:c r="J74" s="71" t="str">
        <x:f>IF(COUNTIFS('Material_Requirements'!$A$2:$A$626,A74,'Material_Requirements'!$P$2:$P$626,"SHORT")&gt;0,"AT RISK",IF(COUNTIFS('Material_Requirements'!$A$2:$A$626,A74,'Material_Requirements'!$P$2:$P$626,"BELOW TARGET")&gt;0,"WATCH","READY"))</x:f>
        <x:v>AT RISK</x:v>
      </x:c>
      <x:c r="K74" s="71" t="n">
        <x:f>F74-'README'!$B$14</x:f>
        <x:v>34</x:v>
      </x:c>
      <x:c r="L74" s="71" t="str">
        <x:f>IF(J74="AT RISK","EXPEDITE MATERIAL",IF(J74="WATCH","REVIEW COVERAGE",IF(K74&lt;=7,"SCHEDULE NOW",IF(K74&lt;=14,"NEXT UP","FUTURE"))))</x:f>
        <x:v>EXPEDITE MATERIAL</x:v>
      </x:c>
    </x:row>
    <x:row r="75" ht="15" customHeight="1">
      <x:c r="A75" s="71" t="str">
        <x:v>SO-26032</x:v>
      </x:c>
      <x:c r="B75" s="71" t="str">
        <x:v>Sample Customer E</x:v>
      </x:c>
      <x:c r="C75" s="71" t="str">
        <x:v>FG-007</x:v>
      </x:c>
      <x:c r="D75" s="71" t="str">
        <x:v>Guard White Product</x:v>
      </x:c>
      <x:c r="E75" s="72" t="n">
        <x:v>20</x:v>
      </x:c>
      <x:c r="F75" s="72" t="n">
        <x:v>46289</x:v>
      </x:c>
      <x:c r="G75" s="72" t="str">
        <x:v>High</x:v>
      </x:c>
      <x:c r="H75" s="72" t="n">
        <x:f>'README'!$B$13</x:f>
        <x:v>250</x:v>
      </x:c>
      <x:c r="I75" s="72" t="n">
        <x:f>CEILING(E75/H75,1)</x:f>
        <x:v>1</x:v>
      </x:c>
      <x:c r="J75" s="71" t="str">
        <x:f>IF(COUNTIFS('Material_Requirements'!$A$2:$A$626,A75,'Material_Requirements'!$P$2:$P$626,"SHORT")&gt;0,"AT RISK",IF(COUNTIFS('Material_Requirements'!$A$2:$A$626,A75,'Material_Requirements'!$P$2:$P$626,"BELOW TARGET")&gt;0,"WATCH","READY"))</x:f>
        <x:v>AT RISK</x:v>
      </x:c>
      <x:c r="K75" s="71" t="n">
        <x:f>F75-'README'!$B$14</x:f>
        <x:v>35</x:v>
      </x:c>
      <x:c r="L75" s="71" t="str">
        <x:f>IF(J75="AT RISK","EXPEDITE MATERIAL",IF(J75="WATCH","REVIEW COVERAGE",IF(K75&lt;=7,"SCHEDULE NOW",IF(K75&lt;=14,"NEXT UP","FUTURE"))))</x:f>
        <x:v>EXPEDITE MATERIAL</x:v>
      </x:c>
    </x:row>
    <x:row r="76" ht="15" customHeight="1">
      <x:c r="A76" s="71" t="str">
        <x:v>SO-26084</x:v>
      </x:c>
      <x:c r="B76" s="71" t="str">
        <x:v>Sample Customer E</x:v>
      </x:c>
      <x:c r="C76" s="71" t="str">
        <x:v>FG-012</x:v>
      </x:c>
      <x:c r="D76" s="71" t="str">
        <x:v>Prime Red Product</x:v>
      </x:c>
      <x:c r="E76" s="72" t="n">
        <x:v>20</x:v>
      </x:c>
      <x:c r="F76" s="72" t="n">
        <x:v>46289</x:v>
      </x:c>
      <x:c r="G76" s="72" t="str">
        <x:v>High</x:v>
      </x:c>
      <x:c r="H76" s="72" t="n">
        <x:f>'README'!$B$13</x:f>
        <x:v>250</x:v>
      </x:c>
      <x:c r="I76" s="72" t="n">
        <x:f>CEILING(E76/H76,1)</x:f>
        <x:v>1</x:v>
      </x:c>
      <x:c r="J76" s="71" t="str">
        <x:f>IF(COUNTIFS('Material_Requirements'!$A$2:$A$626,A76,'Material_Requirements'!$P$2:$P$626,"SHORT")&gt;0,"AT RISK",IF(COUNTIFS('Material_Requirements'!$A$2:$A$626,A76,'Material_Requirements'!$P$2:$P$626,"BELOW TARGET")&gt;0,"WATCH","READY"))</x:f>
        <x:v>AT RISK</x:v>
      </x:c>
      <x:c r="K76" s="71" t="n">
        <x:f>F76-'README'!$B$14</x:f>
        <x:v>35</x:v>
      </x:c>
      <x:c r="L76" s="71" t="str">
        <x:f>IF(J76="AT RISK","EXPEDITE MATERIAL",IF(J76="WATCH","REVIEW COVERAGE",IF(K76&lt;=7,"SCHEDULE NOW",IF(K76&lt;=14,"NEXT UP","FUTURE"))))</x:f>
        <x:v>EXPEDITE MATERIAL</x:v>
      </x:c>
    </x:row>
    <x:row r="77" ht="15" customHeight="1">
      <x:c r="A77" s="71" t="str">
        <x:v>SO-26015</x:v>
      </x:c>
      <x:c r="B77" s="71" t="str">
        <x:v>Sample Customer C</x:v>
      </x:c>
      <x:c r="C77" s="71" t="str">
        <x:v>FG-021</x:v>
      </x:c>
      <x:c r="D77" s="71" t="str">
        <x:v>Shield Tan Product</x:v>
      </x:c>
      <x:c r="E77" s="72" t="n">
        <x:v>100</x:v>
      </x:c>
      <x:c r="F77" s="72" t="n">
        <x:v>46289</x:v>
      </x:c>
      <x:c r="G77" s="72" t="str">
        <x:v>Normal</x:v>
      </x:c>
      <x:c r="H77" s="72" t="n">
        <x:f>'README'!$B$13</x:f>
        <x:v>250</x:v>
      </x:c>
      <x:c r="I77" s="72" t="n">
        <x:f>CEILING(E77/H77,1)</x:f>
        <x:v>1</x:v>
      </x:c>
      <x:c r="J77" s="71" t="str">
        <x:f>IF(COUNTIFS('Material_Requirements'!$A$2:$A$626,A77,'Material_Requirements'!$P$2:$P$626,"SHORT")&gt;0,"AT RISK",IF(COUNTIFS('Material_Requirements'!$A$2:$A$626,A77,'Material_Requirements'!$P$2:$P$626,"BELOW TARGET")&gt;0,"WATCH","READY"))</x:f>
        <x:v>AT RISK</x:v>
      </x:c>
      <x:c r="K77" s="71" t="n">
        <x:f>F77-'README'!$B$14</x:f>
        <x:v>35</x:v>
      </x:c>
      <x:c r="L77" s="71" t="str">
        <x:f>IF(J77="AT RISK","EXPEDITE MATERIAL",IF(J77="WATCH","REVIEW COVERAGE",IF(K77&lt;=7,"SCHEDULE NOW",IF(K77&lt;=14,"NEXT UP","FUTURE"))))</x:f>
        <x:v>EXPEDITE MATERIAL</x:v>
      </x:c>
    </x:row>
    <x:row r="78" ht="15" customHeight="1">
      <x:c r="A78" s="71" t="str">
        <x:v>SO-26004</x:v>
      </x:c>
      <x:c r="B78" s="71" t="str">
        <x:v>Sample Customer C</x:v>
      </x:c>
      <x:c r="C78" s="71" t="str">
        <x:v>FG-013</x:v>
      </x:c>
      <x:c r="D78" s="71" t="str">
        <x:v>Shield White Product</x:v>
      </x:c>
      <x:c r="E78" s="72" t="n">
        <x:v>40</x:v>
      </x:c>
      <x:c r="F78" s="72" t="n">
        <x:v>46290</x:v>
      </x:c>
      <x:c r="G78" s="72" t="str">
        <x:v>Normal</x:v>
      </x:c>
      <x:c r="H78" s="72" t="n">
        <x:f>'README'!$B$13</x:f>
        <x:v>250</x:v>
      </x:c>
      <x:c r="I78" s="72" t="n">
        <x:f>CEILING(E78/H78,1)</x:f>
        <x:v>1</x:v>
      </x:c>
      <x:c r="J78" s="71" t="str">
        <x:f>IF(COUNTIFS('Material_Requirements'!$A$2:$A$626,A78,'Material_Requirements'!$P$2:$P$626,"SHORT")&gt;0,"AT RISK",IF(COUNTIFS('Material_Requirements'!$A$2:$A$626,A78,'Material_Requirements'!$P$2:$P$626,"BELOW TARGET")&gt;0,"WATCH","READY"))</x:f>
        <x:v>AT RISK</x:v>
      </x:c>
      <x:c r="K78" s="71" t="n">
        <x:f>F78-'README'!$B$14</x:f>
        <x:v>36</x:v>
      </x:c>
      <x:c r="L78" s="71" t="str">
        <x:f>IF(J78="AT RISK","EXPEDITE MATERIAL",IF(J78="WATCH","REVIEW COVERAGE",IF(K78&lt;=7,"SCHEDULE NOW",IF(K78&lt;=14,"NEXT UP","FUTURE"))))</x:f>
        <x:v>EXPEDITE MATERIAL</x:v>
      </x:c>
    </x:row>
    <x:row r="79" ht="15" customHeight="1">
      <x:c r="A79" s="71" t="str">
        <x:v>SO-26056</x:v>
      </x:c>
      <x:c r="B79" s="71" t="str">
        <x:v>Sample Customer D</x:v>
      </x:c>
      <x:c r="C79" s="71" t="str">
        <x:v>FG-010</x:v>
      </x:c>
      <x:c r="D79" s="71" t="str">
        <x:v>Flex Blue Product</x:v>
      </x:c>
      <x:c r="E79" s="72" t="n">
        <x:v>50</x:v>
      </x:c>
      <x:c r="F79" s="72" t="n">
        <x:v>46291</x:v>
      </x:c>
      <x:c r="G79" s="72" t="str">
        <x:v>High</x:v>
      </x:c>
      <x:c r="H79" s="72" t="n">
        <x:f>'README'!$B$13</x:f>
        <x:v>250</x:v>
      </x:c>
      <x:c r="I79" s="72" t="n">
        <x:f>CEILING(E79/H79,1)</x:f>
        <x:v>1</x:v>
      </x:c>
      <x:c r="J79" s="71" t="str">
        <x:f>IF(COUNTIFS('Material_Requirements'!$A$2:$A$626,A79,'Material_Requirements'!$P$2:$P$626,"SHORT")&gt;0,"AT RISK",IF(COUNTIFS('Material_Requirements'!$A$2:$A$626,A79,'Material_Requirements'!$P$2:$P$626,"BELOW TARGET")&gt;0,"WATCH","READY"))</x:f>
        <x:v>AT RISK</x:v>
      </x:c>
      <x:c r="K79" s="71" t="n">
        <x:f>F79-'README'!$B$14</x:f>
        <x:v>37</x:v>
      </x:c>
      <x:c r="L79" s="71" t="str">
        <x:f>IF(J79="AT RISK","EXPEDITE MATERIAL",IF(J79="WATCH","REVIEW COVERAGE",IF(K79&lt;=7,"SCHEDULE NOW",IF(K79&lt;=14,"NEXT UP","FUTURE"))))</x:f>
        <x:v>EXPEDITE MATERIAL</x:v>
      </x:c>
    </x:row>
    <x:row r="80" ht="15" customHeight="1">
      <x:c r="A80" s="71" t="str">
        <x:v>SO-26074</x:v>
      </x:c>
      <x:c r="B80" s="71" t="str">
        <x:v>Sample Customer B</x:v>
      </x:c>
      <x:c r="C80" s="71" t="str">
        <x:v>FG-020</x:v>
      </x:c>
      <x:c r="D80" s="71" t="str">
        <x:v>Prime Gray Product</x:v>
      </x:c>
      <x:c r="E80" s="72" t="n">
        <x:v>80</x:v>
      </x:c>
      <x:c r="F80" s="72" t="n">
        <x:v>46291</x:v>
      </x:c>
      <x:c r="G80" s="72" t="str">
        <x:v>Normal</x:v>
      </x:c>
      <x:c r="H80" s="72" t="n">
        <x:f>'README'!$B$13</x:f>
        <x:v>250</x:v>
      </x:c>
      <x:c r="I80" s="72" t="n">
        <x:f>CEILING(E80/H80,1)</x:f>
        <x:v>1</x:v>
      </x:c>
      <x:c r="J80" s="71" t="str">
        <x:f>IF(COUNTIFS('Material_Requirements'!$A$2:$A$626,A80,'Material_Requirements'!$P$2:$P$626,"SHORT")&gt;0,"AT RISK",IF(COUNTIFS('Material_Requirements'!$A$2:$A$626,A80,'Material_Requirements'!$P$2:$P$626,"BELOW TARGET")&gt;0,"WATCH","READY"))</x:f>
        <x:v>AT RISK</x:v>
      </x:c>
      <x:c r="K80" s="71" t="n">
        <x:f>F80-'README'!$B$14</x:f>
        <x:v>37</x:v>
      </x:c>
      <x:c r="L80" s="71" t="str">
        <x:f>IF(J80="AT RISK","EXPEDITE MATERIAL",IF(J80="WATCH","REVIEW COVERAGE",IF(K80&lt;=7,"SCHEDULE NOW",IF(K80&lt;=14,"NEXT UP","FUTURE"))))</x:f>
        <x:v>EXPEDITE MATERIAL</x:v>
      </x:c>
    </x:row>
    <x:row r="81" ht="15" customHeight="1">
      <x:c r="A81" s="71" t="str">
        <x:v>SO-26020</x:v>
      </x:c>
      <x:c r="B81" s="71" t="str">
        <x:v>Sample Customer A</x:v>
      </x:c>
      <x:c r="C81" s="71" t="str">
        <x:v>FG-006</x:v>
      </x:c>
      <x:c r="D81" s="71" t="str">
        <x:v>Flex Red Product</x:v>
      </x:c>
      <x:c r="E81" s="72" t="n">
        <x:v>80</x:v>
      </x:c>
      <x:c r="F81" s="72" t="n">
        <x:v>46292</x:v>
      </x:c>
      <x:c r="G81" s="72" t="str">
        <x:v>Normal</x:v>
      </x:c>
      <x:c r="H81" s="72" t="n">
        <x:f>'README'!$B$13</x:f>
        <x:v>250</x:v>
      </x:c>
      <x:c r="I81" s="72" t="n">
        <x:f>CEILING(E81/H81,1)</x:f>
        <x:v>1</x:v>
      </x:c>
      <x:c r="J81" s="71" t="str">
        <x:f>IF(COUNTIFS('Material_Requirements'!$A$2:$A$626,A81,'Material_Requirements'!$P$2:$P$626,"SHORT")&gt;0,"AT RISK",IF(COUNTIFS('Material_Requirements'!$A$2:$A$626,A81,'Material_Requirements'!$P$2:$P$626,"BELOW TARGET")&gt;0,"WATCH","READY"))</x:f>
        <x:v>AT RISK</x:v>
      </x:c>
      <x:c r="K81" s="71" t="n">
        <x:f>F81-'README'!$B$14</x:f>
        <x:v>38</x:v>
      </x:c>
      <x:c r="L81" s="71" t="str">
        <x:f>IF(J81="AT RISK","EXPEDITE MATERIAL",IF(J81="WATCH","REVIEW COVERAGE",IF(K81&lt;=7,"SCHEDULE NOW",IF(K81&lt;=14,"NEXT UP","FUTURE"))))</x:f>
        <x:v>EXPEDITE MATERIAL</x:v>
      </x:c>
    </x:row>
    <x:row r="82" ht="15" customHeight="1">
      <x:c r="A82" s="71" t="str">
        <x:v>SO-26038</x:v>
      </x:c>
      <x:c r="B82" s="71" t="str">
        <x:v>Sample Customer E</x:v>
      </x:c>
      <x:c r="C82" s="71" t="str">
        <x:v>FG-017</x:v>
      </x:c>
      <x:c r="D82" s="71" t="str">
        <x:v>Shield Black Product</x:v>
      </x:c>
      <x:c r="E82" s="72" t="n">
        <x:v>30</x:v>
      </x:c>
      <x:c r="F82" s="72" t="n">
        <x:v>46292</x:v>
      </x:c>
      <x:c r="G82" s="72" t="str">
        <x:v>Normal</x:v>
      </x:c>
      <x:c r="H82" s="72" t="n">
        <x:f>'README'!$B$13</x:f>
        <x:v>250</x:v>
      </x:c>
      <x:c r="I82" s="72" t="n">
        <x:f>CEILING(E82/H82,1)</x:f>
        <x:v>1</x:v>
      </x:c>
      <x:c r="J82" s="71" t="str">
        <x:f>IF(COUNTIFS('Material_Requirements'!$A$2:$A$626,A82,'Material_Requirements'!$P$2:$P$626,"SHORT")&gt;0,"AT RISK",IF(COUNTIFS('Material_Requirements'!$A$2:$A$626,A82,'Material_Requirements'!$P$2:$P$626,"BELOW TARGET")&gt;0,"WATCH","READY"))</x:f>
        <x:v>AT RISK</x:v>
      </x:c>
      <x:c r="K82" s="71" t="n">
        <x:f>F82-'README'!$B$14</x:f>
        <x:v>38</x:v>
      </x:c>
      <x:c r="L82" s="71" t="str">
        <x:f>IF(J82="AT RISK","EXPEDITE MATERIAL",IF(J82="WATCH","REVIEW COVERAGE",IF(K82&lt;=7,"SCHEDULE NOW",IF(K82&lt;=14,"NEXT UP","FUTURE"))))</x:f>
        <x:v>EXPEDITE MATERIAL</x:v>
      </x:c>
    </x:row>
    <x:row r="83" ht="15" customHeight="1">
      <x:c r="A83" s="71" t="str">
        <x:v>SO-26018</x:v>
      </x:c>
      <x:c r="B83" s="71" t="str">
        <x:v>Sample Customer D</x:v>
      </x:c>
      <x:c r="C83" s="71" t="str">
        <x:v>FG-016</x:v>
      </x:c>
      <x:c r="D83" s="71" t="str">
        <x:v>Prime Blue Product</x:v>
      </x:c>
      <x:c r="E83" s="72" t="n">
        <x:v>60</x:v>
      </x:c>
      <x:c r="F83" s="72" t="n">
        <x:v>46293</x:v>
      </x:c>
      <x:c r="G83" s="72" t="str">
        <x:v>Normal</x:v>
      </x:c>
      <x:c r="H83" s="72" t="n">
        <x:f>'README'!$B$13</x:f>
        <x:v>250</x:v>
      </x:c>
      <x:c r="I83" s="72" t="n">
        <x:f>CEILING(E83/H83,1)</x:f>
        <x:v>1</x:v>
      </x:c>
      <x:c r="J83" s="71" t="str">
        <x:f>IF(COUNTIFS('Material_Requirements'!$A$2:$A$626,A83,'Material_Requirements'!$P$2:$P$626,"SHORT")&gt;0,"AT RISK",IF(COUNTIFS('Material_Requirements'!$A$2:$A$626,A83,'Material_Requirements'!$P$2:$P$626,"BELOW TARGET")&gt;0,"WATCH","READY"))</x:f>
        <x:v>AT RISK</x:v>
      </x:c>
      <x:c r="K83" s="71" t="n">
        <x:f>F83-'README'!$B$14</x:f>
        <x:v>39</x:v>
      </x:c>
      <x:c r="L83" s="71" t="str">
        <x:f>IF(J83="AT RISK","EXPEDITE MATERIAL",IF(J83="WATCH","REVIEW COVERAGE",IF(K83&lt;=7,"SCHEDULE NOW",IF(K83&lt;=14,"NEXT UP","FUTURE"))))</x:f>
        <x:v>EXPEDITE MATERIAL</x:v>
      </x:c>
    </x:row>
    <x:row r="84" ht="15" customHeight="1">
      <x:c r="A84" s="71" t="str">
        <x:v>SO-26048</x:v>
      </x:c>
      <x:c r="B84" s="71" t="str">
        <x:v>Sample Customer C</x:v>
      </x:c>
      <x:c r="C84" s="71" t="str">
        <x:v>FG-016</x:v>
      </x:c>
      <x:c r="D84" s="71" t="str">
        <x:v>Prime Blue Product</x:v>
      </x:c>
      <x:c r="E84" s="72" t="n">
        <x:v>80</x:v>
      </x:c>
      <x:c r="F84" s="72" t="n">
        <x:v>46293</x:v>
      </x:c>
      <x:c r="G84" s="72" t="str">
        <x:v>Normal</x:v>
      </x:c>
      <x:c r="H84" s="72" t="n">
        <x:f>'README'!$B$13</x:f>
        <x:v>250</x:v>
      </x:c>
      <x:c r="I84" s="72" t="n">
        <x:f>CEILING(E84/H84,1)</x:f>
        <x:v>1</x:v>
      </x:c>
      <x:c r="J84" s="71" t="str">
        <x:f>IF(COUNTIFS('Material_Requirements'!$A$2:$A$626,A84,'Material_Requirements'!$P$2:$P$626,"SHORT")&gt;0,"AT RISK",IF(COUNTIFS('Material_Requirements'!$A$2:$A$626,A84,'Material_Requirements'!$P$2:$P$626,"BELOW TARGET")&gt;0,"WATCH","READY"))</x:f>
        <x:v>AT RISK</x:v>
      </x:c>
      <x:c r="K84" s="71" t="n">
        <x:f>F84-'README'!$B$14</x:f>
        <x:v>39</x:v>
      </x:c>
      <x:c r="L84" s="71" t="str">
        <x:f>IF(J84="AT RISK","EXPEDITE MATERIAL",IF(J84="WATCH","REVIEW COVERAGE",IF(K84&lt;=7,"SCHEDULE NOW",IF(K84&lt;=14,"NEXT UP","FUTURE"))))</x:f>
        <x:v>EXPEDITE MATERIAL</x:v>
      </x:c>
    </x:row>
    <x:row r="85" ht="15" customHeight="1">
      <x:c r="A85" s="71" t="str">
        <x:v>SO-26085</x:v>
      </x:c>
      <x:c r="B85" s="71" t="str">
        <x:v>Sample Customer E</x:v>
      </x:c>
      <x:c r="C85" s="71" t="str">
        <x:v>FG-015</x:v>
      </x:c>
      <x:c r="D85" s="71" t="str">
        <x:v>Guard Tan Product</x:v>
      </x:c>
      <x:c r="E85" s="72" t="n">
        <x:v>40</x:v>
      </x:c>
      <x:c r="F85" s="72" t="n">
        <x:v>46293</x:v>
      </x:c>
      <x:c r="G85" s="72" t="str">
        <x:v>Normal</x:v>
      </x:c>
      <x:c r="H85" s="72" t="n">
        <x:f>'README'!$B$13</x:f>
        <x:v>250</x:v>
      </x:c>
      <x:c r="I85" s="72" t="n">
        <x:f>CEILING(E85/H85,1)</x:f>
        <x:v>1</x:v>
      </x:c>
      <x:c r="J85" s="71" t="str">
        <x:f>IF(COUNTIFS('Material_Requirements'!$A$2:$A$626,A85,'Material_Requirements'!$P$2:$P$626,"SHORT")&gt;0,"AT RISK",IF(COUNTIFS('Material_Requirements'!$A$2:$A$626,A85,'Material_Requirements'!$P$2:$P$626,"BELOW TARGET")&gt;0,"WATCH","READY"))</x:f>
        <x:v>AT RISK</x:v>
      </x:c>
      <x:c r="K85" s="71" t="n">
        <x:f>F85-'README'!$B$14</x:f>
        <x:v>39</x:v>
      </x:c>
      <x:c r="L85" s="71" t="str">
        <x:f>IF(J85="AT RISK","EXPEDITE MATERIAL",IF(J85="WATCH","REVIEW COVERAGE",IF(K85&lt;=7,"SCHEDULE NOW",IF(K85&lt;=14,"NEXT UP","FUTURE"))))</x:f>
        <x:v>EXPEDITE MATERIAL</x:v>
      </x:c>
    </x:row>
    <x:row r="86" ht="15" customHeight="1">
      <x:c r="A86" s="71" t="str">
        <x:v>SO-26028</x:v>
      </x:c>
      <x:c r="B86" s="71" t="str">
        <x:v>Sample Customer E</x:v>
      </x:c>
      <x:c r="C86" s="71" t="str">
        <x:v>FG-019</x:v>
      </x:c>
      <x:c r="D86" s="71" t="str">
        <x:v>Guard White Product</x:v>
      </x:c>
      <x:c r="E86" s="72" t="n">
        <x:v>100</x:v>
      </x:c>
      <x:c r="F86" s="72" t="n">
        <x:v>46294</x:v>
      </x:c>
      <x:c r="G86" s="72" t="str">
        <x:v>High</x:v>
      </x:c>
      <x:c r="H86" s="72" t="n">
        <x:f>'README'!$B$13</x:f>
        <x:v>250</x:v>
      </x:c>
      <x:c r="I86" s="72" t="n">
        <x:f>CEILING(E86/H86,1)</x:f>
        <x:v>1</x:v>
      </x:c>
      <x:c r="J86" s="71" t="str">
        <x:f>IF(COUNTIFS('Material_Requirements'!$A$2:$A$626,A86,'Material_Requirements'!$P$2:$P$626,"SHORT")&gt;0,"AT RISK",IF(COUNTIFS('Material_Requirements'!$A$2:$A$626,A86,'Material_Requirements'!$P$2:$P$626,"BELOW TARGET")&gt;0,"WATCH","READY"))</x:f>
        <x:v>AT RISK</x:v>
      </x:c>
      <x:c r="K86" s="71" t="n">
        <x:f>F86-'README'!$B$14</x:f>
        <x:v>40</x:v>
      </x:c>
      <x:c r="L86" s="71" t="str">
        <x:f>IF(J86="AT RISK","EXPEDITE MATERIAL",IF(J86="WATCH","REVIEW COVERAGE",IF(K86&lt;=7,"SCHEDULE NOW",IF(K86&lt;=14,"NEXT UP","FUTURE"))))</x:f>
        <x:v>EXPEDITE MATERIAL</x:v>
      </x:c>
    </x:row>
    <x:row r="87" ht="15" customHeight="1">
      <x:c r="A87" s="71" t="str">
        <x:v>SO-26070</x:v>
      </x:c>
      <x:c r="B87" s="71" t="str">
        <x:v>Sample Customer B</x:v>
      </x:c>
      <x:c r="C87" s="71" t="str">
        <x:v>FG-023</x:v>
      </x:c>
      <x:c r="D87" s="71" t="str">
        <x:v>Guard Black Product</x:v>
      </x:c>
      <x:c r="E87" s="72" t="n">
        <x:v>60</x:v>
      </x:c>
      <x:c r="F87" s="72" t="n">
        <x:v>46294</x:v>
      </x:c>
      <x:c r="G87" s="72" t="str">
        <x:v>High</x:v>
      </x:c>
      <x:c r="H87" s="72" t="n">
        <x:f>'README'!$B$13</x:f>
        <x:v>250</x:v>
      </x:c>
      <x:c r="I87" s="72" t="n">
        <x:f>CEILING(E87/H87,1)</x:f>
        <x:v>1</x:v>
      </x:c>
      <x:c r="J87" s="71" t="str">
        <x:f>IF(COUNTIFS('Material_Requirements'!$A$2:$A$626,A87,'Material_Requirements'!$P$2:$P$626,"SHORT")&gt;0,"AT RISK",IF(COUNTIFS('Material_Requirements'!$A$2:$A$626,A87,'Material_Requirements'!$P$2:$P$626,"BELOW TARGET")&gt;0,"WATCH","READY"))</x:f>
        <x:v>AT RISK</x:v>
      </x:c>
      <x:c r="K87" s="71" t="n">
        <x:f>F87-'README'!$B$14</x:f>
        <x:v>40</x:v>
      </x:c>
      <x:c r="L87" s="71" t="str">
        <x:f>IF(J87="AT RISK","EXPEDITE MATERIAL",IF(J87="WATCH","REVIEW COVERAGE",IF(K87&lt;=7,"SCHEDULE NOW",IF(K87&lt;=14,"NEXT UP","FUTURE"))))</x:f>
        <x:v>EXPEDITE MATERIAL</x:v>
      </x:c>
    </x:row>
    <x:row r="88" ht="15" customHeight="1">
      <x:c r="A88" s="71" t="str">
        <x:v>SO-26078</x:v>
      </x:c>
      <x:c r="B88" s="71" t="str">
        <x:v>Sample Customer D</x:v>
      </x:c>
      <x:c r="C88" s="71" t="str">
        <x:v>FG-002</x:v>
      </x:c>
      <x:c r="D88" s="71" t="str">
        <x:v>Flex Gray Product</x:v>
      </x:c>
      <x:c r="E88" s="72" t="n">
        <x:v>30</x:v>
      </x:c>
      <x:c r="F88" s="72" t="n">
        <x:v>46295</x:v>
      </x:c>
      <x:c r="G88" s="72" t="str">
        <x:v>High</x:v>
      </x:c>
      <x:c r="H88" s="72" t="n">
        <x:f>'README'!$B$13</x:f>
        <x:v>250</x:v>
      </x:c>
      <x:c r="I88" s="72" t="n">
        <x:f>CEILING(E88/H88,1)</x:f>
        <x:v>1</x:v>
      </x:c>
      <x:c r="J88" s="71" t="str">
        <x:f>IF(COUNTIFS('Material_Requirements'!$A$2:$A$626,A88,'Material_Requirements'!$P$2:$P$626,"SHORT")&gt;0,"AT RISK",IF(COUNTIFS('Material_Requirements'!$A$2:$A$626,A88,'Material_Requirements'!$P$2:$P$626,"BELOW TARGET")&gt;0,"WATCH","READY"))</x:f>
        <x:v>AT RISK</x:v>
      </x:c>
      <x:c r="K88" s="71" t="n">
        <x:f>F88-'README'!$B$14</x:f>
        <x:v>41</x:v>
      </x:c>
      <x:c r="L88" s="71" t="str">
        <x:f>IF(J88="AT RISK","EXPEDITE MATERIAL",IF(J88="WATCH","REVIEW COVERAGE",IF(K88&lt;=7,"SCHEDULE NOW",IF(K88&lt;=14,"NEXT UP","FUTURE"))))</x:f>
        <x:v>EXPEDITE MATERIAL</x:v>
      </x:c>
    </x:row>
    <x:row r="89" ht="15" customHeight="1">
      <x:c r="A89" s="71" t="str">
        <x:v>SO-26088</x:v>
      </x:c>
      <x:c r="B89" s="71" t="str">
        <x:v>Sample Customer A</x:v>
      </x:c>
      <x:c r="C89" s="71" t="str">
        <x:v>FG-019</x:v>
      </x:c>
      <x:c r="D89" s="71" t="str">
        <x:v>Guard White Product</x:v>
      </x:c>
      <x:c r="E89" s="72" t="n">
        <x:v>10</x:v>
      </x:c>
      <x:c r="F89" s="72" t="n">
        <x:v>46295</x:v>
      </x:c>
      <x:c r="G89" s="72" t="str">
        <x:v>High</x:v>
      </x:c>
      <x:c r="H89" s="72" t="n">
        <x:f>'README'!$B$13</x:f>
        <x:v>250</x:v>
      </x:c>
      <x:c r="I89" s="72" t="n">
        <x:f>CEILING(E89/H89,1)</x:f>
        <x:v>1</x:v>
      </x:c>
      <x:c r="J89" s="71" t="str">
        <x:f>IF(COUNTIFS('Material_Requirements'!$A$2:$A$626,A89,'Material_Requirements'!$P$2:$P$626,"SHORT")&gt;0,"AT RISK",IF(COUNTIFS('Material_Requirements'!$A$2:$A$626,A89,'Material_Requirements'!$P$2:$P$626,"BELOW TARGET")&gt;0,"WATCH","READY"))</x:f>
        <x:v>AT RISK</x:v>
      </x:c>
      <x:c r="K89" s="71" t="n">
        <x:f>F89-'README'!$B$14</x:f>
        <x:v>41</x:v>
      </x:c>
      <x:c r="L89" s="71" t="str">
        <x:f>IF(J89="AT RISK","EXPEDITE MATERIAL",IF(J89="WATCH","REVIEW COVERAGE",IF(K89&lt;=7,"SCHEDULE NOW",IF(K89&lt;=14,"NEXT UP","FUTURE"))))</x:f>
        <x:v>EXPEDITE MATERIAL</x:v>
      </x:c>
    </x:row>
    <x:row r="90" ht="15" customHeight="1">
      <x:c r="A90" s="71" t="str">
        <x:v>SO-26050</x:v>
      </x:c>
      <x:c r="B90" s="71" t="str">
        <x:v>Sample Customer D</x:v>
      </x:c>
      <x:c r="C90" s="71" t="str">
        <x:v>FG-013</x:v>
      </x:c>
      <x:c r="D90" s="71" t="str">
        <x:v>Shield White Product</x:v>
      </x:c>
      <x:c r="E90" s="72" t="n">
        <x:v>20</x:v>
      </x:c>
      <x:c r="F90" s="72" t="n">
        <x:v>46296</x:v>
      </x:c>
      <x:c r="G90" s="72" t="str">
        <x:v>Normal</x:v>
      </x:c>
      <x:c r="H90" s="72" t="n">
        <x:f>'README'!$B$13</x:f>
        <x:v>250</x:v>
      </x:c>
      <x:c r="I90" s="72" t="n">
        <x:f>CEILING(E90/H90,1)</x:f>
        <x:v>1</x:v>
      </x:c>
      <x:c r="J90" s="71" t="str">
        <x:f>IF(COUNTIFS('Material_Requirements'!$A$2:$A$626,A90,'Material_Requirements'!$P$2:$P$626,"SHORT")&gt;0,"AT RISK",IF(COUNTIFS('Material_Requirements'!$A$2:$A$626,A90,'Material_Requirements'!$P$2:$P$626,"BELOW TARGET")&gt;0,"WATCH","READY"))</x:f>
        <x:v>AT RISK</x:v>
      </x:c>
      <x:c r="K90" s="71" t="n">
        <x:f>F90-'README'!$B$14</x:f>
        <x:v>42</x:v>
      </x:c>
      <x:c r="L90" s="71" t="str">
        <x:f>IF(J90="AT RISK","EXPEDITE MATERIAL",IF(J90="WATCH","REVIEW COVERAGE",IF(K90&lt;=7,"SCHEDULE NOW",IF(K90&lt;=14,"NEXT UP","FUTURE"))))</x:f>
        <x:v>EXPEDITE MATERIAL</x:v>
      </x:c>
    </x:row>
    <x:row r="91" ht="15" customHeight="1">
      <x:c r="A91" s="71" t="str">
        <x:v>SO-26064</x:v>
      </x:c>
      <x:c r="B91" s="71" t="str">
        <x:v>Sample Customer C</x:v>
      </x:c>
      <x:c r="C91" s="71" t="str">
        <x:v>FG-004</x:v>
      </x:c>
      <x:c r="D91" s="71" t="str">
        <x:v>Prime Blue Product</x:v>
      </x:c>
      <x:c r="E91" s="72" t="n">
        <x:v>50</x:v>
      </x:c>
      <x:c r="F91" s="72" t="n">
        <x:v>46296</x:v>
      </x:c>
      <x:c r="G91" s="72" t="str">
        <x:v>Normal</x:v>
      </x:c>
      <x:c r="H91" s="72" t="n">
        <x:f>'README'!$B$13</x:f>
        <x:v>250</x:v>
      </x:c>
      <x:c r="I91" s="72" t="n">
        <x:f>CEILING(E91/H91,1)</x:f>
        <x:v>1</x:v>
      </x:c>
      <x:c r="J91" s="71" t="str">
        <x:f>IF(COUNTIFS('Material_Requirements'!$A$2:$A$626,A91,'Material_Requirements'!$P$2:$P$626,"SHORT")&gt;0,"AT RISK",IF(COUNTIFS('Material_Requirements'!$A$2:$A$626,A91,'Material_Requirements'!$P$2:$P$626,"BELOW TARGET")&gt;0,"WATCH","READY"))</x:f>
        <x:v>AT RISK</x:v>
      </x:c>
      <x:c r="K91" s="71" t="n">
        <x:f>F91-'README'!$B$14</x:f>
        <x:v>42</x:v>
      </x:c>
      <x:c r="L91" s="71" t="str">
        <x:f>IF(J91="AT RISK","EXPEDITE MATERIAL",IF(J91="WATCH","REVIEW COVERAGE",IF(K91&lt;=7,"SCHEDULE NOW",IF(K91&lt;=14,"NEXT UP","FUTURE"))))</x:f>
        <x:v>EXPEDITE MATERIAL</x:v>
      </x:c>
    </x:row>
  </x:sheetData>
  <x:conditionalFormatting sqref="J2:L91">
    <x:cfRule type="containsText" dxfId="10" priority="3" operator="containsText" text="AT RISK"/>
    <x:cfRule type="containsText" dxfId="11" priority="4" operator="containsText" text="EXPEDITE MATERIAL"/>
    <x:cfRule type="containsText" dxfId="12" priority="5" operator="containsText" text="WATCH"/>
    <x:cfRule type="containsText" dxfId="13" priority="6" operator="containsText" text="REVIEW COVERAGE"/>
    <x:cfRule type="containsText" dxfId="14" priority="7" operator="containsText" text="READY"/>
  </x:conditionalFormatting>
  <x:conditionalFormatting sqref="J2:J91">
    <x:cfRule type="containsText" dxfId="21" priority="8" operator="containsText" text="AT RISK"/>
    <x:cfRule type="containsText" dxfId="22" priority="9" operator="containsText" text="WATCH"/>
    <x:cfRule type="containsText" dxfId="23" priority="10" operator="containsText" text="READY"/>
  </x:conditionalFormatting>
  <x:conditionalFormatting sqref="L2:L91">
    <x:cfRule type="containsText" dxfId="24" priority="11" operator="containsText" text="EXPEDITE MATERIAL"/>
    <x:cfRule type="containsText" dxfId="25" priority="12" operator="containsText" text="REVIEW COVERAGE"/>
    <x:cfRule type="containsText" dxfId="26" priority="13" operator="containsText" text="SCHEDULE NOW"/>
  </x:conditionalFormatting>
  <x:pageMargins left="0.7" right="0.7" top="0.75" bottom="0.75" header="0.3" footer="0.3"/>
  <x:tableParts count="1">
    <x:tablePart xmlns:r="http://schemas.openxmlformats.org/officeDocument/2006/relationships" r:id="R3bc732e113ae4079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.779999732971191" hidden="0" customWidth="1"/>
    <x:col min="2" max="2" width="10.220000267028809" hidden="0" customWidth="1"/>
    <x:col min="3" max="3" width="8" hidden="0" customWidth="1"/>
    <x:col min="4" max="4" width="8.670000076293945" hidden="0" customWidth="1"/>
    <x:col min="5" max="5" width="10.220000267028809" hidden="0" customWidth="1"/>
    <x:col min="6" max="6" width="17.780000686645508" hidden="0" customWidth="1"/>
    <x:col min="7" max="7" width="8.670000076293945" hidden="0" customWidth="1"/>
    <x:col min="8" max="8" width="9.109999656677246" hidden="0" customWidth="1"/>
    <x:col min="9" max="9" width="9.779999732971191" hidden="0" customWidth="1"/>
    <x:col min="10" max="10" width="9.109999656677246" hidden="0" customWidth="1"/>
    <x:col min="11" max="11" width="9.329999923706055" hidden="0" customWidth="1"/>
    <x:col min="12" max="12" width="11.109999656677246" hidden="0" customWidth="1"/>
    <x:col min="13" max="13" width="10.890000343322754" hidden="0" customWidth="1"/>
    <x:col min="14" max="14" width="11.670000076293945" hidden="0" customWidth="1"/>
    <x:col min="15" max="15" width="11.329999923706055" hidden="0" customWidth="1"/>
    <x:col min="16" max="16" width="12.220000267028809" hidden="0" customWidth="1"/>
    <x:col min="17" max="17" width="0.2199999988079071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</x:cols>
  <x:sheetData>
    <x:row r="1" ht="27" customHeight="1">
      <x:c r="A1" s="60" t="str">
        <x:v>Sales Order</x:v>
      </x:c>
      <x:c r="B1" s="61" t="str">
        <x:v>Due Date</x:v>
      </x:c>
      <x:c r="C1" s="61" t="str">
        <x:v>Priority</x:v>
      </x:c>
      <x:c r="D1" s="61" t="str">
        <x:v>FG Item</x:v>
      </x:c>
      <x:c r="E1" s="61" t="str">
        <x:v>Raw Material</x:v>
      </x:c>
      <x:c r="F1" s="61" t="str">
        <x:v>RM Description</x:v>
      </x:c>
      <x:c r="G1" s="61" t="str">
        <x:v>Order Qty</x:v>
      </x:c>
      <x:c r="H1" s="61" t="str">
        <x:v>Qty per FG</x:v>
      </x:c>
      <x:c r="I1" s="61" t="str">
        <x:v>Required Qty</x:v>
      </x:c>
      <x:c r="J1" s="61" t="str">
        <x:v>On Hand</x:v>
      </x:c>
      <x:c r="K1" s="61" t="str">
        <x:v>Safety Stock</x:v>
      </x:c>
      <x:c r="L1" s="61" t="str">
        <x:v>PO Due by Order</x:v>
      </x:c>
      <x:c r="M1" s="61" t="str">
        <x:v>Total Available</x:v>
      </x:c>
      <x:c r="N1" s="61" t="str">
        <x:v>Cumulative Demand</x:v>
      </x:c>
      <x:c r="O1" s="61" t="str">
        <x:v>Projected Balance</x:v>
      </x:c>
      <x:c r="P1" s="61" t="str">
        <x:v>Coverage Status</x:v>
      </x:c>
      <x:c r="Q1" s="61" t="str">
        <x:v>First Short Date Helper</x:v>
      </x:c>
    </x:row>
    <x:row r="2" ht="15" customHeight="1">
      <x:c r="A2" s="71" t="str">
        <x:v>SO-26082</x:v>
      </x:c>
      <x:c r="B2" s="75" t="n">
        <x:v>46255</x:v>
      </x:c>
      <x:c r="C2" s="71" t="str">
        <x:v>High</x:v>
      </x:c>
      <x:c r="D2" s="71" t="str">
        <x:v>FG-003</x:v>
      </x:c>
      <x:c r="E2" s="71" t="str">
        <x:v>RM-008</x:v>
      </x:c>
      <x:c r="F2" s="71" t="str">
        <x:v>Filler 008</x:v>
      </x:c>
      <x:c r="G2" s="76" t="n">
        <x:v>20</x:v>
      </x:c>
      <x:c r="H2" s="76" t="n">
        <x:v>66.47</x:v>
      </x:c>
      <x:c r="I2" s="76" t="n">
        <x:f>G2*H2</x:f>
        <x:v>1329.4</x:v>
      </x:c>
      <x:c r="J2" s="76" t="n">
        <x:f>IFERROR(INDEX('Inventory'!$E$2:$E$71,MATCH(E2,'Inventory'!$A$2:$A$71,0)),0)</x:f>
        <x:v>430</x:v>
      </x:c>
      <x:c r="K2" s="76" t="n">
        <x:f>IFERROR(INDEX('Inventory'!$F$2:$F$71,MATCH(E2,'Inventory'!$A$2:$A$71,0)),0)</x:f>
        <x:v>1037</x:v>
      </x:c>
      <x:c r="L2" s="76" t="n">
        <x:f>SUMIFS('Open_POs'!$D$2:$D$26,'Open_POs'!$B$2:$B$26,E2,'Open_POs'!$E$2:$E$26,"&lt;="&amp;B2)</x:f>
        <x:v>0</x:v>
      </x:c>
      <x:c r="M2" s="76" t="n">
        <x:f>J2+L2</x:f>
        <x:v>430</x:v>
      </x:c>
      <x:c r="N2" s="76" t="n">
        <x:f>SUMIFS($I$2:I2,$E$2:E2,E2)</x:f>
        <x:v>1329.4</x:v>
      </x:c>
      <x:c r="O2" s="76" t="n">
        <x:f>M2-N2</x:f>
        <x:v>-899.4000000000001</x:v>
      </x:c>
      <x:c r="P2" s="71" t="str">
        <x:f>IF(O2&lt;0,"SHORT",IF(O2&lt;K2,"BELOW TARGET","COVERED"))</x:f>
        <x:v>SHORT</x:v>
      </x:c>
      <x:c r="Q2" s="63" t="n">
        <x:f>IF(AND(P2="SHORT",COUNTIFS($E$2:E2,E2,$P$2:P2,"SHORT")=1),B2,"")</x:f>
        <x:v>46255</x:v>
      </x:c>
    </x:row>
    <x:row r="3" ht="15" customHeight="1">
      <x:c r="A3" s="71" t="str">
        <x:v>SO-26082</x:v>
      </x:c>
      <x:c r="B3" s="75" t="n">
        <x:v>46255</x:v>
      </x:c>
      <x:c r="C3" s="71" t="str">
        <x:v>High</x:v>
      </x:c>
      <x:c r="D3" s="71" t="str">
        <x:v>FG-003</x:v>
      </x:c>
      <x:c r="E3" s="71" t="str">
        <x:v>RM-009</x:v>
      </x:c>
      <x:c r="F3" s="71" t="str">
        <x:v>Additive 009</x:v>
      </x:c>
      <x:c r="G3" s="76" t="n">
        <x:v>20</x:v>
      </x:c>
      <x:c r="H3" s="76" t="n">
        <x:v>23.43</x:v>
      </x:c>
      <x:c r="I3" s="76" t="n">
        <x:f>G3*H3</x:f>
        <x:v>468.6</x:v>
      </x:c>
      <x:c r="J3" s="76" t="n">
        <x:f>IFERROR(INDEX('Inventory'!$E$2:$E$71,MATCH(E3,'Inventory'!$A$2:$A$71,0)),0)</x:f>
        <x:v>13813</x:v>
      </x:c>
      <x:c r="K3" s="76" t="n">
        <x:f>IFERROR(INDEX('Inventory'!$F$2:$F$71,MATCH(E3,'Inventory'!$A$2:$A$71,0)),0)</x:f>
        <x:v>1377</x:v>
      </x:c>
      <x:c r="L3" s="76" t="n">
        <x:f>SUMIFS('Open_POs'!$D$2:$D$26,'Open_POs'!$B$2:$B$26,E3,'Open_POs'!$E$2:$E$26,"&lt;="&amp;B3)</x:f>
        <x:v>0</x:v>
      </x:c>
      <x:c r="M3" s="76" t="n">
        <x:f>J3+L3</x:f>
        <x:v>13813</x:v>
      </x:c>
      <x:c r="N3" s="76" t="n">
        <x:f>SUMIFS($I$2:I3,$E$2:E3,E3)</x:f>
        <x:v>468.6</x:v>
      </x:c>
      <x:c r="O3" s="76" t="n">
        <x:f>M3-N3</x:f>
        <x:v>13344.4</x:v>
      </x:c>
      <x:c r="P3" s="71" t="str">
        <x:f>IF(O3&lt;0,"SHORT",IF(O3&lt;K3,"BELOW TARGET","COVERED"))</x:f>
        <x:v>COVERED</x:v>
      </x:c>
      <x:c r="Q3" s="63" t="str">
        <x:f>IF(AND(P3="SHORT",COUNTIFS($E$2:E3,E3,$P$2:P3,"SHORT")=1),B3,"")</x:f>
      </x:c>
    </x:row>
    <x:row r="4" ht="15" customHeight="1">
      <x:c r="A4" s="71" t="str">
        <x:v>SO-26082</x:v>
      </x:c>
      <x:c r="B4" s="75" t="n">
        <x:v>46255</x:v>
      </x:c>
      <x:c r="C4" s="71" t="str">
        <x:v>High</x:v>
      </x:c>
      <x:c r="D4" s="71" t="str">
        <x:v>FG-003</x:v>
      </x:c>
      <x:c r="E4" s="71" t="str">
        <x:v>RM-010</x:v>
      </x:c>
      <x:c r="F4" s="71" t="str">
        <x:v>Packaging 010</x:v>
      </x:c>
      <x:c r="G4" s="76" t="n">
        <x:v>20</x:v>
      </x:c>
      <x:c r="H4" s="76" t="n">
        <x:v>62.89</x:v>
      </x:c>
      <x:c r="I4" s="76" t="n">
        <x:f>G4*H4</x:f>
        <x:v>1257.8</x:v>
      </x:c>
      <x:c r="J4" s="76" t="n">
        <x:f>IFERROR(INDEX('Inventory'!$E$2:$E$71,MATCH(E4,'Inventory'!$A$2:$A$71,0)),0)</x:f>
        <x:v>14191</x:v>
      </x:c>
      <x:c r="K4" s="76" t="n">
        <x:f>IFERROR(INDEX('Inventory'!$F$2:$F$71,MATCH(E4,'Inventory'!$A$2:$A$71,0)),0)</x:f>
        <x:v>615</x:v>
      </x:c>
      <x:c r="L4" s="76" t="n">
        <x:f>SUMIFS('Open_POs'!$D$2:$D$26,'Open_POs'!$B$2:$B$26,E4,'Open_POs'!$E$2:$E$26,"&lt;="&amp;B4)</x:f>
        <x:v>0</x:v>
      </x:c>
      <x:c r="M4" s="76" t="n">
        <x:f>J4+L4</x:f>
        <x:v>14191</x:v>
      </x:c>
      <x:c r="N4" s="76" t="n">
        <x:f>SUMIFS($I$2:I4,$E$2:E4,E4)</x:f>
        <x:v>1257.8</x:v>
      </x:c>
      <x:c r="O4" s="76" t="n">
        <x:f>M4-N4</x:f>
        <x:v>12933.2</x:v>
      </x:c>
      <x:c r="P4" s="71" t="str">
        <x:f>IF(O4&lt;0,"SHORT",IF(O4&lt;K4,"BELOW TARGET","COVERED"))</x:f>
        <x:v>COVERED</x:v>
      </x:c>
      <x:c r="Q4" s="63" t="str">
        <x:f>IF(AND(P4="SHORT",COUNTIFS($E$2:E4,E4,$P$2:P4,"SHORT")=1),B4,"")</x:f>
      </x:c>
    </x:row>
    <x:row r="5" ht="15" customHeight="1">
      <x:c r="A5" s="71" t="str">
        <x:v>SO-26082</x:v>
      </x:c>
      <x:c r="B5" s="75" t="n">
        <x:v>46255</x:v>
      </x:c>
      <x:c r="C5" s="71" t="str">
        <x:v>High</x:v>
      </x:c>
      <x:c r="D5" s="71" t="str">
        <x:v>FG-003</x:v>
      </x:c>
      <x:c r="E5" s="71" t="str">
        <x:v>RM-011</x:v>
      </x:c>
      <x:c r="F5" s="71" t="str">
        <x:v>Resin 011</x:v>
      </x:c>
      <x:c r="G5" s="76" t="n">
        <x:v>20</x:v>
      </x:c>
      <x:c r="H5" s="76" t="n">
        <x:v>35.21</x:v>
      </x:c>
      <x:c r="I5" s="76" t="n">
        <x:f>G5*H5</x:f>
        <x:v>704.2</x:v>
      </x:c>
      <x:c r="J5" s="76" t="n">
        <x:f>IFERROR(INDEX('Inventory'!$E$2:$E$71,MATCH(E5,'Inventory'!$A$2:$A$71,0)),0)</x:f>
        <x:v>16410</x:v>
      </x:c>
      <x:c r="K5" s="76" t="n">
        <x:f>IFERROR(INDEX('Inventory'!$F$2:$F$71,MATCH(E5,'Inventory'!$A$2:$A$71,0)),0)</x:f>
        <x:v>1275</x:v>
      </x:c>
      <x:c r="L5" s="76" t="n">
        <x:f>SUMIFS('Open_POs'!$D$2:$D$26,'Open_POs'!$B$2:$B$26,E5,'Open_POs'!$E$2:$E$26,"&lt;="&amp;B5)</x:f>
        <x:v>0</x:v>
      </x:c>
      <x:c r="M5" s="76" t="n">
        <x:f>J5+L5</x:f>
        <x:v>16410</x:v>
      </x:c>
      <x:c r="N5" s="76" t="n">
        <x:f>SUMIFS($I$2:I5,$E$2:E5,E5)</x:f>
        <x:v>704.2</x:v>
      </x:c>
      <x:c r="O5" s="76" t="n">
        <x:f>M5-N5</x:f>
        <x:v>15705.8</x:v>
      </x:c>
      <x:c r="P5" s="71" t="str">
        <x:f>IF(O5&lt;0,"SHORT",IF(O5&lt;K5,"BELOW TARGET","COVERED"))</x:f>
        <x:v>COVERED</x:v>
      </x:c>
      <x:c r="Q5" s="63" t="str">
        <x:f>IF(AND(P5="SHORT",COUNTIFS($E$2:E5,E5,$P$2:P5,"SHORT")=1),B5,"")</x:f>
      </x:c>
    </x:row>
    <x:row r="6" ht="15" customHeight="1">
      <x:c r="A6" s="71" t="str">
        <x:v>SO-26082</x:v>
      </x:c>
      <x:c r="B6" s="75" t="n">
        <x:v>46255</x:v>
      </x:c>
      <x:c r="C6" s="71" t="str">
        <x:v>High</x:v>
      </x:c>
      <x:c r="D6" s="71" t="str">
        <x:v>FG-003</x:v>
      </x:c>
      <x:c r="E6" s="71" t="str">
        <x:v>RM-022</x:v>
      </x:c>
      <x:c r="F6" s="71" t="str">
        <x:v>Pigment 022</x:v>
      </x:c>
      <x:c r="G6" s="76" t="n">
        <x:v>20</x:v>
      </x:c>
      <x:c r="H6" s="76" t="n">
        <x:v>56.17</x:v>
      </x:c>
      <x:c r="I6" s="76" t="n">
        <x:f>G6*H6</x:f>
        <x:v>1123.4</x:v>
      </x:c>
      <x:c r="J6" s="76" t="n">
        <x:f>IFERROR(INDEX('Inventory'!$E$2:$E$71,MATCH(E6,'Inventory'!$A$2:$A$71,0)),0)</x:f>
        <x:v>12228</x:v>
      </x:c>
      <x:c r="K6" s="76" t="n">
        <x:f>IFERROR(INDEX('Inventory'!$F$2:$F$71,MATCH(E6,'Inventory'!$A$2:$A$71,0)),0)</x:f>
        <x:v>411</x:v>
      </x:c>
      <x:c r="L6" s="76" t="n">
        <x:f>SUMIFS('Open_POs'!$D$2:$D$26,'Open_POs'!$B$2:$B$26,E6,'Open_POs'!$E$2:$E$26,"&lt;="&amp;B6)</x:f>
        <x:v>0</x:v>
      </x:c>
      <x:c r="M6" s="76" t="n">
        <x:f>J6+L6</x:f>
        <x:v>12228</x:v>
      </x:c>
      <x:c r="N6" s="76" t="n">
        <x:f>SUMIFS($I$2:I6,$E$2:E6,E6)</x:f>
        <x:v>1123.4</x:v>
      </x:c>
      <x:c r="O6" s="76" t="n">
        <x:f>M6-N6</x:f>
        <x:v>11104.6</x:v>
      </x:c>
      <x:c r="P6" s="71" t="str">
        <x:f>IF(O6&lt;0,"SHORT",IF(O6&lt;K6,"BELOW TARGET","COVERED"))</x:f>
        <x:v>COVERED</x:v>
      </x:c>
      <x:c r="Q6" s="63" t="str">
        <x:f>IF(AND(P6="SHORT",COUNTIFS($E$2:E6,E6,$P$2:P6,"SHORT")=1),B6,"")</x:f>
      </x:c>
    </x:row>
    <x:row r="7" ht="15" customHeight="1">
      <x:c r="A7" s="71" t="str">
        <x:v>SO-26082</x:v>
      </x:c>
      <x:c r="B7" s="75" t="n">
        <x:v>46255</x:v>
      </x:c>
      <x:c r="C7" s="71" t="str">
        <x:v>High</x:v>
      </x:c>
      <x:c r="D7" s="71" t="str">
        <x:v>FG-003</x:v>
      </x:c>
      <x:c r="E7" s="71" t="str">
        <x:v>RM-025</x:v>
      </x:c>
      <x:c r="F7" s="71" t="str">
        <x:v>Packaging 025</x:v>
      </x:c>
      <x:c r="G7" s="76" t="n">
        <x:v>20</x:v>
      </x:c>
      <x:c r="H7" s="76" t="n">
        <x:v>72.69</x:v>
      </x:c>
      <x:c r="I7" s="76" t="n">
        <x:f>G7*H7</x:f>
        <x:v>1453.8</x:v>
      </x:c>
      <x:c r="J7" s="76" t="n">
        <x:f>IFERROR(INDEX('Inventory'!$E$2:$E$71,MATCH(E7,'Inventory'!$A$2:$A$71,0)),0)</x:f>
        <x:v>2469</x:v>
      </x:c>
      <x:c r="K7" s="76" t="n">
        <x:f>IFERROR(INDEX('Inventory'!$F$2:$F$71,MATCH(E7,'Inventory'!$A$2:$A$71,0)),0)</x:f>
        <x:v>229</x:v>
      </x:c>
      <x:c r="L7" s="76" t="n">
        <x:f>SUMIFS('Open_POs'!$D$2:$D$26,'Open_POs'!$B$2:$B$26,E7,'Open_POs'!$E$2:$E$26,"&lt;="&amp;B7)</x:f>
        <x:v>0</x:v>
      </x:c>
      <x:c r="M7" s="76" t="n">
        <x:f>J7+L7</x:f>
        <x:v>2469</x:v>
      </x:c>
      <x:c r="N7" s="76" t="n">
        <x:f>SUMIFS($I$2:I7,$E$2:E7,E7)</x:f>
        <x:v>1453.8</x:v>
      </x:c>
      <x:c r="O7" s="76" t="n">
        <x:f>M7-N7</x:f>
        <x:v>1015.2</x:v>
      </x:c>
      <x:c r="P7" s="71" t="str">
        <x:f>IF(O7&lt;0,"SHORT",IF(O7&lt;K7,"BELOW TARGET","COVERED"))</x:f>
        <x:v>COVERED</x:v>
      </x:c>
      <x:c r="Q7" s="63" t="str">
        <x:f>IF(AND(P7="SHORT",COUNTIFS($E$2:E7,E7,$P$2:P7,"SHORT")=1),B7,"")</x:f>
      </x:c>
    </x:row>
    <x:row r="8" ht="15" customHeight="1">
      <x:c r="A8" s="71" t="str">
        <x:v>SO-26082</x:v>
      </x:c>
      <x:c r="B8" s="75" t="n">
        <x:v>46255</x:v>
      </x:c>
      <x:c r="C8" s="71" t="str">
        <x:v>High</x:v>
      </x:c>
      <x:c r="D8" s="71" t="str">
        <x:v>FG-003</x:v>
      </x:c>
      <x:c r="E8" s="71" t="str">
        <x:v>RM-047</x:v>
      </x:c>
      <x:c r="F8" s="71" t="str">
        <x:v>Pigment 047</x:v>
      </x:c>
      <x:c r="G8" s="76" t="n">
        <x:v>20</x:v>
      </x:c>
      <x:c r="H8" s="76" t="n">
        <x:v>37.94</x:v>
      </x:c>
      <x:c r="I8" s="76" t="n">
        <x:f>G8*H8</x:f>
        <x:v>758.8</x:v>
      </x:c>
      <x:c r="J8" s="76" t="n">
        <x:f>IFERROR(INDEX('Inventory'!$E$2:$E$71,MATCH(E8,'Inventory'!$A$2:$A$71,0)),0)</x:f>
        <x:v>4384</x:v>
      </x:c>
      <x:c r="K8" s="76" t="n">
        <x:f>IFERROR(INDEX('Inventory'!$F$2:$F$71,MATCH(E8,'Inventory'!$A$2:$A$71,0)),0)</x:f>
        <x:v>1229</x:v>
      </x:c>
      <x:c r="L8" s="76" t="n">
        <x:f>SUMIFS('Open_POs'!$D$2:$D$26,'Open_POs'!$B$2:$B$26,E8,'Open_POs'!$E$2:$E$26,"&lt;="&amp;B8)</x:f>
        <x:v>0</x:v>
      </x:c>
      <x:c r="M8" s="76" t="n">
        <x:f>J8+L8</x:f>
        <x:v>4384</x:v>
      </x:c>
      <x:c r="N8" s="76" t="n">
        <x:f>SUMIFS($I$2:I8,$E$2:E8,E8)</x:f>
        <x:v>758.8</x:v>
      </x:c>
      <x:c r="O8" s="76" t="n">
        <x:f>M8-N8</x:f>
        <x:v>3625.2</x:v>
      </x:c>
      <x:c r="P8" s="71" t="str">
        <x:f>IF(O8&lt;0,"SHORT",IF(O8&lt;K8,"BELOW TARGET","COVERED"))</x:f>
        <x:v>COVERED</x:v>
      </x:c>
      <x:c r="Q8" s="63" t="str">
        <x:f>IF(AND(P8="SHORT",COUNTIFS($E$2:E8,E8,$P$2:P8,"SHORT")=1),B8,"")</x:f>
      </x:c>
    </x:row>
    <x:row r="9" ht="15" customHeight="1">
      <x:c r="A9" s="71" t="str">
        <x:v>SO-26082</x:v>
      </x:c>
      <x:c r="B9" s="75" t="n">
        <x:v>46255</x:v>
      </x:c>
      <x:c r="C9" s="71" t="str">
        <x:v>High</x:v>
      </x:c>
      <x:c r="D9" s="71" t="str">
        <x:v>FG-003</x:v>
      </x:c>
      <x:c r="E9" s="71" t="str">
        <x:v>RM-066</x:v>
      </x:c>
      <x:c r="F9" s="71" t="str">
        <x:v>Resin 066</x:v>
      </x:c>
      <x:c r="G9" s="76" t="n">
        <x:v>20</x:v>
      </x:c>
      <x:c r="H9" s="76" t="n">
        <x:v>36.29</x:v>
      </x:c>
      <x:c r="I9" s="76" t="n">
        <x:f>G9*H9</x:f>
        <x:v>725.8</x:v>
      </x:c>
      <x:c r="J9" s="76" t="n">
        <x:f>IFERROR(INDEX('Inventory'!$E$2:$E$71,MATCH(E9,'Inventory'!$A$2:$A$71,0)),0)</x:f>
        <x:v>10876</x:v>
      </x:c>
      <x:c r="K9" s="76" t="n">
        <x:f>IFERROR(INDEX('Inventory'!$F$2:$F$71,MATCH(E9,'Inventory'!$A$2:$A$71,0)),0)</x:f>
        <x:v>567</x:v>
      </x:c>
      <x:c r="L9" s="76" t="n">
        <x:f>SUMIFS('Open_POs'!$D$2:$D$26,'Open_POs'!$B$2:$B$26,E9,'Open_POs'!$E$2:$E$26,"&lt;="&amp;B9)</x:f>
        <x:v>0</x:v>
      </x:c>
      <x:c r="M9" s="76" t="n">
        <x:f>J9+L9</x:f>
        <x:v>10876</x:v>
      </x:c>
      <x:c r="N9" s="76" t="n">
        <x:f>SUMIFS($I$2:I9,$E$2:E9,E9)</x:f>
        <x:v>725.8</x:v>
      </x:c>
      <x:c r="O9" s="76" t="n">
        <x:f>M9-N9</x:f>
        <x:v>10150.2</x:v>
      </x:c>
      <x:c r="P9" s="71" t="str">
        <x:f>IF(O9&lt;0,"SHORT",IF(O9&lt;K9,"BELOW TARGET","COVERED"))</x:f>
        <x:v>COVERED</x:v>
      </x:c>
      <x:c r="Q9" s="63" t="str">
        <x:f>IF(AND(P9="SHORT",COUNTIFS($E$2:E9,E9,$P$2:P9,"SHORT")=1),B9,"")</x:f>
      </x:c>
    </x:row>
    <x:row r="10" ht="15" customHeight="1">
      <x:c r="A10" s="71" t="str">
        <x:v>SO-26037</x:v>
      </x:c>
      <x:c r="B10" s="75" t="n">
        <x:v>46256</x:v>
      </x:c>
      <x:c r="C10" s="71" t="str">
        <x:v>Normal</x:v>
      </x:c>
      <x:c r="D10" s="71" t="str">
        <x:v>FG-009</x:v>
      </x:c>
      <x:c r="E10" s="71" t="str">
        <x:v>RM-021</x:v>
      </x:c>
      <x:c r="F10" s="71" t="str">
        <x:v>Resin 021</x:v>
      </x:c>
      <x:c r="G10" s="76" t="n">
        <x:v>40</x:v>
      </x:c>
      <x:c r="H10" s="76" t="n">
        <x:v>54.71</x:v>
      </x:c>
      <x:c r="I10" s="76" t="n">
        <x:f>G10*H10</x:f>
        <x:v>2188.4</x:v>
      </x:c>
      <x:c r="J10" s="76" t="n">
        <x:f>IFERROR(INDEX('Inventory'!$E$2:$E$71,MATCH(E10,'Inventory'!$A$2:$A$71,0)),0)</x:f>
        <x:v>8041</x:v>
      </x:c>
      <x:c r="K10" s="76" t="n">
        <x:f>IFERROR(INDEX('Inventory'!$F$2:$F$71,MATCH(E10,'Inventory'!$A$2:$A$71,0)),0)</x:f>
        <x:v>264</x:v>
      </x:c>
      <x:c r="L10" s="76" t="n">
        <x:f>SUMIFS('Open_POs'!$D$2:$D$26,'Open_POs'!$B$2:$B$26,E10,'Open_POs'!$E$2:$E$26,"&lt;="&amp;B10)</x:f>
        <x:v>0</x:v>
      </x:c>
      <x:c r="M10" s="76" t="n">
        <x:f>J10+L10</x:f>
        <x:v>8041</x:v>
      </x:c>
      <x:c r="N10" s="76" t="n">
        <x:f>SUMIFS($I$2:I10,$E$2:E10,E10)</x:f>
        <x:v>2188.4</x:v>
      </x:c>
      <x:c r="O10" s="76" t="n">
        <x:f>M10-N10</x:f>
        <x:v>5852.6</x:v>
      </x:c>
      <x:c r="P10" s="71" t="str">
        <x:f>IF(O10&lt;0,"SHORT",IF(O10&lt;K10,"BELOW TARGET","COVERED"))</x:f>
        <x:v>COVERED</x:v>
      </x:c>
      <x:c r="Q10" s="63" t="str">
        <x:f>IF(AND(P10="SHORT",COUNTIFS($E$2:E10,E10,$P$2:P10,"SHORT")=1),B10,"")</x:f>
      </x:c>
    </x:row>
    <x:row r="11" ht="15" customHeight="1">
      <x:c r="A11" s="71" t="str">
        <x:v>SO-26037</x:v>
      </x:c>
      <x:c r="B11" s="75" t="n">
        <x:v>46256</x:v>
      </x:c>
      <x:c r="C11" s="71" t="str">
        <x:v>Normal</x:v>
      </x:c>
      <x:c r="D11" s="71" t="str">
        <x:v>FG-009</x:v>
      </x:c>
      <x:c r="E11" s="71" t="str">
        <x:v>RM-023</x:v>
      </x:c>
      <x:c r="F11" s="71" t="str">
        <x:v>Filler 023</x:v>
      </x:c>
      <x:c r="G11" s="76" t="n">
        <x:v>40</x:v>
      </x:c>
      <x:c r="H11" s="76" t="n">
        <x:v>49.77</x:v>
      </x:c>
      <x:c r="I11" s="76" t="n">
        <x:f>G11*H11</x:f>
        <x:v>1990.8000000000002</x:v>
      </x:c>
      <x:c r="J11" s="76" t="n">
        <x:f>IFERROR(INDEX('Inventory'!$E$2:$E$71,MATCH(E11,'Inventory'!$A$2:$A$71,0)),0)</x:f>
        <x:v>3401</x:v>
      </x:c>
      <x:c r="K11" s="76" t="n">
        <x:f>IFERROR(INDEX('Inventory'!$F$2:$F$71,MATCH(E11,'Inventory'!$A$2:$A$71,0)),0)</x:f>
        <x:v>418</x:v>
      </x:c>
      <x:c r="L11" s="76" t="n">
        <x:f>SUMIFS('Open_POs'!$D$2:$D$26,'Open_POs'!$B$2:$B$26,E11,'Open_POs'!$E$2:$E$26,"&lt;="&amp;B11)</x:f>
        <x:v>0</x:v>
      </x:c>
      <x:c r="M11" s="76" t="n">
        <x:f>J11+L11</x:f>
        <x:v>3401</x:v>
      </x:c>
      <x:c r="N11" s="76" t="n">
        <x:f>SUMIFS($I$2:I11,$E$2:E11,E11)</x:f>
        <x:v>1990.8000000000002</x:v>
      </x:c>
      <x:c r="O11" s="76" t="n">
        <x:f>M11-N11</x:f>
        <x:v>1410.1999999999998</x:v>
      </x:c>
      <x:c r="P11" s="71" t="str">
        <x:f>IF(O11&lt;0,"SHORT",IF(O11&lt;K11,"BELOW TARGET","COVERED"))</x:f>
        <x:v>COVERED</x:v>
      </x:c>
      <x:c r="Q11" s="63" t="str">
        <x:f>IF(AND(P11="SHORT",COUNTIFS($E$2:E11,E11,$P$2:P11,"SHORT")=1),B11,"")</x:f>
      </x:c>
    </x:row>
    <x:row r="12" ht="15" customHeight="1">
      <x:c r="A12" s="71" t="str">
        <x:v>SO-26037</x:v>
      </x:c>
      <x:c r="B12" s="75" t="n">
        <x:v>46256</x:v>
      </x:c>
      <x:c r="C12" s="71" t="str">
        <x:v>Normal</x:v>
      </x:c>
      <x:c r="D12" s="71" t="str">
        <x:v>FG-009</x:v>
      </x:c>
      <x:c r="E12" s="71" t="str">
        <x:v>RM-032</x:v>
      </x:c>
      <x:c r="F12" s="71" t="str">
        <x:v>Pigment 032</x:v>
      </x:c>
      <x:c r="G12" s="76" t="n">
        <x:v>40</x:v>
      </x:c>
      <x:c r="H12" s="76" t="n">
        <x:v>112.23</x:v>
      </x:c>
      <x:c r="I12" s="76" t="n">
        <x:f>G12*H12</x:f>
        <x:v>4489.2</x:v>
      </x:c>
      <x:c r="J12" s="76" t="n">
        <x:f>IFERROR(INDEX('Inventory'!$E$2:$E$71,MATCH(E12,'Inventory'!$A$2:$A$71,0)),0)</x:f>
        <x:v>674</x:v>
      </x:c>
      <x:c r="K12" s="76" t="n">
        <x:f>IFERROR(INDEX('Inventory'!$F$2:$F$71,MATCH(E12,'Inventory'!$A$2:$A$71,0)),0)</x:f>
        <x:v>1056</x:v>
      </x:c>
      <x:c r="L12" s="76" t="n">
        <x:f>SUMIFS('Open_POs'!$D$2:$D$26,'Open_POs'!$B$2:$B$26,E12,'Open_POs'!$E$2:$E$26,"&lt;="&amp;B12)</x:f>
        <x:v>0</x:v>
      </x:c>
      <x:c r="M12" s="76" t="n">
        <x:f>J12+L12</x:f>
        <x:v>674</x:v>
      </x:c>
      <x:c r="N12" s="76" t="n">
        <x:f>SUMIFS($I$2:I12,$E$2:E12,E12)</x:f>
        <x:v>4489.2</x:v>
      </x:c>
      <x:c r="O12" s="76" t="n">
        <x:f>M12-N12</x:f>
        <x:v>-3815.2</x:v>
      </x:c>
      <x:c r="P12" s="71" t="str">
        <x:f>IF(O12&lt;0,"SHORT",IF(O12&lt;K12,"BELOW TARGET","COVERED"))</x:f>
        <x:v>SHORT</x:v>
      </x:c>
      <x:c r="Q12" s="63" t="n">
        <x:f>IF(AND(P12="SHORT",COUNTIFS($E$2:E12,E12,$P$2:P12,"SHORT")=1),B12,"")</x:f>
        <x:v>46256</x:v>
      </x:c>
    </x:row>
    <x:row r="13" ht="15" customHeight="1">
      <x:c r="A13" s="71" t="str">
        <x:v>SO-26037</x:v>
      </x:c>
      <x:c r="B13" s="75" t="n">
        <x:v>46256</x:v>
      </x:c>
      <x:c r="C13" s="71" t="str">
        <x:v>Normal</x:v>
      </x:c>
      <x:c r="D13" s="71" t="str">
        <x:v>FG-009</x:v>
      </x:c>
      <x:c r="E13" s="71" t="str">
        <x:v>RM-050</x:v>
      </x:c>
      <x:c r="F13" s="71" t="str">
        <x:v>Packaging 050</x:v>
      </x:c>
      <x:c r="G13" s="76" t="n">
        <x:v>40</x:v>
      </x:c>
      <x:c r="H13" s="76" t="n">
        <x:v>108.31</x:v>
      </x:c>
      <x:c r="I13" s="76" t="n">
        <x:f>G13*H13</x:f>
        <x:v>4332.4</x:v>
      </x:c>
      <x:c r="J13" s="76" t="n">
        <x:f>IFERROR(INDEX('Inventory'!$E$2:$E$71,MATCH(E13,'Inventory'!$A$2:$A$71,0)),0)</x:f>
        <x:v>5370</x:v>
      </x:c>
      <x:c r="K13" s="76" t="n">
        <x:f>IFERROR(INDEX('Inventory'!$F$2:$F$71,MATCH(E13,'Inventory'!$A$2:$A$71,0)),0)</x:f>
        <x:v>1210</x:v>
      </x:c>
      <x:c r="L13" s="76" t="n">
        <x:f>SUMIFS('Open_POs'!$D$2:$D$26,'Open_POs'!$B$2:$B$26,E13,'Open_POs'!$E$2:$E$26,"&lt;="&amp;B13)</x:f>
        <x:v>0</x:v>
      </x:c>
      <x:c r="M13" s="76" t="n">
        <x:f>J13+L13</x:f>
        <x:v>5370</x:v>
      </x:c>
      <x:c r="N13" s="76" t="n">
        <x:f>SUMIFS($I$2:I13,$E$2:E13,E13)</x:f>
        <x:v>4332.4</x:v>
      </x:c>
      <x:c r="O13" s="76" t="n">
        <x:f>M13-N13</x:f>
        <x:v>1037.6000000000004</x:v>
      </x:c>
      <x:c r="P13" s="71" t="str">
        <x:f>IF(O13&lt;0,"SHORT",IF(O13&lt;K13,"BELOW TARGET","COVERED"))</x:f>
        <x:v>BELOW TARGET</x:v>
      </x:c>
      <x:c r="Q13" s="63" t="str">
        <x:f>IF(AND(P13="SHORT",COUNTIFS($E$2:E13,E13,$P$2:P13,"SHORT")=1),B13,"")</x:f>
      </x:c>
    </x:row>
    <x:row r="14" ht="15" customHeight="1">
      <x:c r="A14" s="71" t="str">
        <x:v>SO-26037</x:v>
      </x:c>
      <x:c r="B14" s="75" t="n">
        <x:v>46256</x:v>
      </x:c>
      <x:c r="C14" s="71" t="str">
        <x:v>Normal</x:v>
      </x:c>
      <x:c r="D14" s="71" t="str">
        <x:v>FG-009</x:v>
      </x:c>
      <x:c r="E14" s="71" t="str">
        <x:v>RM-057</x:v>
      </x:c>
      <x:c r="F14" s="71" t="str">
        <x:v>Pigment 057</x:v>
      </x:c>
      <x:c r="G14" s="76" t="n">
        <x:v>40</x:v>
      </x:c>
      <x:c r="H14" s="76" t="n">
        <x:v>15.63</x:v>
      </x:c>
      <x:c r="I14" s="76" t="n">
        <x:f>G14*H14</x:f>
        <x:v>625.2</x:v>
      </x:c>
      <x:c r="J14" s="76" t="n">
        <x:f>IFERROR(INDEX('Inventory'!$E$2:$E$71,MATCH(E14,'Inventory'!$A$2:$A$71,0)),0)</x:f>
        <x:v>5779</x:v>
      </x:c>
      <x:c r="K14" s="76" t="n">
        <x:f>IFERROR(INDEX('Inventory'!$F$2:$F$71,MATCH(E14,'Inventory'!$A$2:$A$71,0)),0)</x:f>
        <x:v>1148</x:v>
      </x:c>
      <x:c r="L14" s="76" t="n">
        <x:f>SUMIFS('Open_POs'!$D$2:$D$26,'Open_POs'!$B$2:$B$26,E14,'Open_POs'!$E$2:$E$26,"&lt;="&amp;B14)</x:f>
        <x:v>0</x:v>
      </x:c>
      <x:c r="M14" s="76" t="n">
        <x:f>J14+L14</x:f>
        <x:v>5779</x:v>
      </x:c>
      <x:c r="N14" s="76" t="n">
        <x:f>SUMIFS($I$2:I14,$E$2:E14,E14)</x:f>
        <x:v>625.2</x:v>
      </x:c>
      <x:c r="O14" s="76" t="n">
        <x:f>M14-N14</x:f>
        <x:v>5153.8</x:v>
      </x:c>
      <x:c r="P14" s="71" t="str">
        <x:f>IF(O14&lt;0,"SHORT",IF(O14&lt;K14,"BELOW TARGET","COVERED"))</x:f>
        <x:v>COVERED</x:v>
      </x:c>
      <x:c r="Q14" s="63" t="str">
        <x:f>IF(AND(P14="SHORT",COUNTIFS($E$2:E14,E14,$P$2:P14,"SHORT")=1),B14,"")</x:f>
      </x:c>
    </x:row>
    <x:row r="15" ht="15" customHeight="1">
      <x:c r="A15" s="71" t="str">
        <x:v>SO-26043</x:v>
      </x:c>
      <x:c r="B15" s="75" t="n">
        <x:v>46257</x:v>
      </x:c>
      <x:c r="C15" s="71" t="str">
        <x:v>Normal</x:v>
      </x:c>
      <x:c r="D15" s="71" t="str">
        <x:v>FG-024</x:v>
      </x:c>
      <x:c r="E15" s="71" t="str">
        <x:v>RM-006</x:v>
      </x:c>
      <x:c r="F15" s="71" t="str">
        <x:v>Resin 006</x:v>
      </x:c>
      <x:c r="G15" s="76" t="n">
        <x:v>10</x:v>
      </x:c>
      <x:c r="H15" s="76" t="n">
        <x:v>55.55</x:v>
      </x:c>
      <x:c r="I15" s="76" t="n">
        <x:f>G15*H15</x:f>
        <x:v>555.5</x:v>
      </x:c>
      <x:c r="J15" s="76" t="n">
        <x:f>IFERROR(INDEX('Inventory'!$E$2:$E$71,MATCH(E15,'Inventory'!$A$2:$A$71,0)),0)</x:f>
        <x:v>1295</x:v>
      </x:c>
      <x:c r="K15" s="76" t="n">
        <x:f>IFERROR(INDEX('Inventory'!$F$2:$F$71,MATCH(E15,'Inventory'!$A$2:$A$71,0)),0)</x:f>
        <x:v>599</x:v>
      </x:c>
      <x:c r="L15" s="76" t="n">
        <x:f>SUMIFS('Open_POs'!$D$2:$D$26,'Open_POs'!$B$2:$B$26,E15,'Open_POs'!$E$2:$E$26,"&lt;="&amp;B15)</x:f>
        <x:v>0</x:v>
      </x:c>
      <x:c r="M15" s="76" t="n">
        <x:f>J15+L15</x:f>
        <x:v>1295</x:v>
      </x:c>
      <x:c r="N15" s="76" t="n">
        <x:f>SUMIFS($I$2:I15,$E$2:E15,E15)</x:f>
        <x:v>555.5</x:v>
      </x:c>
      <x:c r="O15" s="76" t="n">
        <x:f>M15-N15</x:f>
        <x:v>739.5</x:v>
      </x:c>
      <x:c r="P15" s="71" t="str">
        <x:f>IF(O15&lt;0,"SHORT",IF(O15&lt;K15,"BELOW TARGET","COVERED"))</x:f>
        <x:v>COVERED</x:v>
      </x:c>
      <x:c r="Q15" s="63" t="str">
        <x:f>IF(AND(P15="SHORT",COUNTIFS($E$2:E15,E15,$P$2:P15,"SHORT")=1),B15,"")</x:f>
      </x:c>
    </x:row>
    <x:row r="16" ht="15" customHeight="1">
      <x:c r="A16" s="71" t="str">
        <x:v>SO-26043</x:v>
      </x:c>
      <x:c r="B16" s="75" t="n">
        <x:v>46257</x:v>
      </x:c>
      <x:c r="C16" s="71" t="str">
        <x:v>Normal</x:v>
      </x:c>
      <x:c r="D16" s="71" t="str">
        <x:v>FG-024</x:v>
      </x:c>
      <x:c r="E16" s="71" t="str">
        <x:v>RM-013</x:v>
      </x:c>
      <x:c r="F16" s="71" t="str">
        <x:v>Filler 013</x:v>
      </x:c>
      <x:c r="G16" s="76" t="n">
        <x:v>10</x:v>
      </x:c>
      <x:c r="H16" s="76" t="n">
        <x:v>49.92</x:v>
      </x:c>
      <x:c r="I16" s="76" t="n">
        <x:f>G16*H16</x:f>
        <x:v>499.20000000000005</x:v>
      </x:c>
      <x:c r="J16" s="76" t="n">
        <x:f>IFERROR(INDEX('Inventory'!$E$2:$E$71,MATCH(E16,'Inventory'!$A$2:$A$71,0)),0)</x:f>
        <x:v>16230</x:v>
      </x:c>
      <x:c r="K16" s="76" t="n">
        <x:f>IFERROR(INDEX('Inventory'!$F$2:$F$71,MATCH(E16,'Inventory'!$A$2:$A$71,0)),0)</x:f>
        <x:v>1037</x:v>
      </x:c>
      <x:c r="L16" s="76" t="n">
        <x:f>SUMIFS('Open_POs'!$D$2:$D$26,'Open_POs'!$B$2:$B$26,E16,'Open_POs'!$E$2:$E$26,"&lt;="&amp;B16)</x:f>
        <x:v>0</x:v>
      </x:c>
      <x:c r="M16" s="76" t="n">
        <x:f>J16+L16</x:f>
        <x:v>16230</x:v>
      </x:c>
      <x:c r="N16" s="76" t="n">
        <x:f>SUMIFS($I$2:I16,$E$2:E16,E16)</x:f>
        <x:v>499.20000000000005</x:v>
      </x:c>
      <x:c r="O16" s="76" t="n">
        <x:f>M16-N16</x:f>
        <x:v>15730.8</x:v>
      </x:c>
      <x:c r="P16" s="71" t="str">
        <x:f>IF(O16&lt;0,"SHORT",IF(O16&lt;K16,"BELOW TARGET","COVERED"))</x:f>
        <x:v>COVERED</x:v>
      </x:c>
      <x:c r="Q16" s="63" t="str">
        <x:f>IF(AND(P16="SHORT",COUNTIFS($E$2:E16,E16,$P$2:P16,"SHORT")=1),B16,"")</x:f>
      </x:c>
    </x:row>
    <x:row r="17" ht="15" customHeight="1">
      <x:c r="A17" s="71" t="str">
        <x:v>SO-26043</x:v>
      </x:c>
      <x:c r="B17" s="75" t="n">
        <x:v>46257</x:v>
      </x:c>
      <x:c r="C17" s="71" t="str">
        <x:v>Normal</x:v>
      </x:c>
      <x:c r="D17" s="71" t="str">
        <x:v>FG-024</x:v>
      </x:c>
      <x:c r="E17" s="71" t="str">
        <x:v>RM-037</x:v>
      </x:c>
      <x:c r="F17" s="71" t="str">
        <x:v>Pigment 037</x:v>
      </x:c>
      <x:c r="G17" s="76" t="n">
        <x:v>10</x:v>
      </x:c>
      <x:c r="H17" s="76" t="n">
        <x:v>64.55</x:v>
      </x:c>
      <x:c r="I17" s="76" t="n">
        <x:f>G17*H17</x:f>
        <x:v>645.5</x:v>
      </x:c>
      <x:c r="J17" s="76" t="n">
        <x:f>IFERROR(INDEX('Inventory'!$E$2:$E$71,MATCH(E17,'Inventory'!$A$2:$A$71,0)),0)</x:f>
        <x:v>14210</x:v>
      </x:c>
      <x:c r="K17" s="76" t="n">
        <x:f>IFERROR(INDEX('Inventory'!$F$2:$F$71,MATCH(E17,'Inventory'!$A$2:$A$71,0)),0)</x:f>
        <x:v>850</x:v>
      </x:c>
      <x:c r="L17" s="76" t="n">
        <x:f>SUMIFS('Open_POs'!$D$2:$D$26,'Open_POs'!$B$2:$B$26,E17,'Open_POs'!$E$2:$E$26,"&lt;="&amp;B17)</x:f>
        <x:v>0</x:v>
      </x:c>
      <x:c r="M17" s="76" t="n">
        <x:f>J17+L17</x:f>
        <x:v>14210</x:v>
      </x:c>
      <x:c r="N17" s="76" t="n">
        <x:f>SUMIFS($I$2:I17,$E$2:E17,E17)</x:f>
        <x:v>645.5</x:v>
      </x:c>
      <x:c r="O17" s="76" t="n">
        <x:f>M17-N17</x:f>
        <x:v>13564.5</x:v>
      </x:c>
      <x:c r="P17" s="71" t="str">
        <x:f>IF(O17&lt;0,"SHORT",IF(O17&lt;K17,"BELOW TARGET","COVERED"))</x:f>
        <x:v>COVERED</x:v>
      </x:c>
      <x:c r="Q17" s="63" t="str">
        <x:f>IF(AND(P17="SHORT",COUNTIFS($E$2:E17,E17,$P$2:P17,"SHORT")=1),B17,"")</x:f>
      </x:c>
    </x:row>
    <x:row r="18" ht="15" customHeight="1">
      <x:c r="A18" s="71" t="str">
        <x:v>SO-26043</x:v>
      </x:c>
      <x:c r="B18" s="75" t="n">
        <x:v>46257</x:v>
      </x:c>
      <x:c r="C18" s="71" t="str">
        <x:v>Normal</x:v>
      </x:c>
      <x:c r="D18" s="71" t="str">
        <x:v>FG-024</x:v>
      </x:c>
      <x:c r="E18" s="71" t="str">
        <x:v>RM-044</x:v>
      </x:c>
      <x:c r="F18" s="71" t="str">
        <x:v>Additive 044</x:v>
      </x:c>
      <x:c r="G18" s="76" t="n">
        <x:v>10</x:v>
      </x:c>
      <x:c r="H18" s="76" t="n">
        <x:v>92.32</x:v>
      </x:c>
      <x:c r="I18" s="76" t="n">
        <x:f>G18*H18</x:f>
        <x:v>923.1999999999999</x:v>
      </x:c>
      <x:c r="J18" s="76" t="n">
        <x:f>IFERROR(INDEX('Inventory'!$E$2:$E$71,MATCH(E18,'Inventory'!$A$2:$A$71,0)),0)</x:f>
        <x:v>10361</x:v>
      </x:c>
      <x:c r="K18" s="76" t="n">
        <x:f>IFERROR(INDEX('Inventory'!$F$2:$F$71,MATCH(E18,'Inventory'!$A$2:$A$71,0)),0)</x:f>
        <x:v>571</x:v>
      </x:c>
      <x:c r="L18" s="76" t="n">
        <x:f>SUMIFS('Open_POs'!$D$2:$D$26,'Open_POs'!$B$2:$B$26,E18,'Open_POs'!$E$2:$E$26,"&lt;="&amp;B18)</x:f>
        <x:v>0</x:v>
      </x:c>
      <x:c r="M18" s="76" t="n">
        <x:f>J18+L18</x:f>
        <x:v>10361</x:v>
      </x:c>
      <x:c r="N18" s="76" t="n">
        <x:f>SUMIFS($I$2:I18,$E$2:E18,E18)</x:f>
        <x:v>923.1999999999999</x:v>
      </x:c>
      <x:c r="O18" s="76" t="n">
        <x:f>M18-N18</x:f>
        <x:v>9437.8</x:v>
      </x:c>
      <x:c r="P18" s="71" t="str">
        <x:f>IF(O18&lt;0,"SHORT",IF(O18&lt;K18,"BELOW TARGET","COVERED"))</x:f>
        <x:v>COVERED</x:v>
      </x:c>
      <x:c r="Q18" s="63" t="str">
        <x:f>IF(AND(P18="SHORT",COUNTIFS($E$2:E18,E18,$P$2:P18,"SHORT")=1),B18,"")</x:f>
      </x:c>
    </x:row>
    <x:row r="19" ht="15" customHeight="1">
      <x:c r="A19" s="71" t="str">
        <x:v>SO-26043</x:v>
      </x:c>
      <x:c r="B19" s="75" t="n">
        <x:v>46257</x:v>
      </x:c>
      <x:c r="C19" s="71" t="str">
        <x:v>Normal</x:v>
      </x:c>
      <x:c r="D19" s="71" t="str">
        <x:v>FG-024</x:v>
      </x:c>
      <x:c r="E19" s="71" t="str">
        <x:v>RM-058</x:v>
      </x:c>
      <x:c r="F19" s="71" t="str">
        <x:v>Filler 058</x:v>
      </x:c>
      <x:c r="G19" s="76" t="n">
        <x:v>10</x:v>
      </x:c>
      <x:c r="H19" s="76" t="n">
        <x:v>54.64</x:v>
      </x:c>
      <x:c r="I19" s="76" t="n">
        <x:f>G19*H19</x:f>
        <x:v>546.4</x:v>
      </x:c>
      <x:c r="J19" s="76" t="n">
        <x:f>IFERROR(INDEX('Inventory'!$E$2:$E$71,MATCH(E19,'Inventory'!$A$2:$A$71,0)),0)</x:f>
        <x:v>9929</x:v>
      </x:c>
      <x:c r="K19" s="76" t="n">
        <x:f>IFERROR(INDEX('Inventory'!$F$2:$F$71,MATCH(E19,'Inventory'!$A$2:$A$71,0)),0)</x:f>
        <x:v>701</x:v>
      </x:c>
      <x:c r="L19" s="76" t="n">
        <x:f>SUMIFS('Open_POs'!$D$2:$D$26,'Open_POs'!$B$2:$B$26,E19,'Open_POs'!$E$2:$E$26,"&lt;="&amp;B19)</x:f>
        <x:v>0</x:v>
      </x:c>
      <x:c r="M19" s="76" t="n">
        <x:f>J19+L19</x:f>
        <x:v>9929</x:v>
      </x:c>
      <x:c r="N19" s="76" t="n">
        <x:f>SUMIFS($I$2:I19,$E$2:E19,E19)</x:f>
        <x:v>546.4</x:v>
      </x:c>
      <x:c r="O19" s="76" t="n">
        <x:f>M19-N19</x:f>
        <x:v>9382.6</x:v>
      </x:c>
      <x:c r="P19" s="71" t="str">
        <x:f>IF(O19&lt;0,"SHORT",IF(O19&lt;K19,"BELOW TARGET","COVERED"))</x:f>
        <x:v>COVERED</x:v>
      </x:c>
      <x:c r="Q19" s="63" t="str">
        <x:f>IF(AND(P19="SHORT",COUNTIFS($E$2:E19,E19,$P$2:P19,"SHORT")=1),B19,"")</x:f>
      </x:c>
    </x:row>
    <x:row r="20" ht="15" customHeight="1">
      <x:c r="A20" s="71" t="str">
        <x:v>SO-26043</x:v>
      </x:c>
      <x:c r="B20" s="75" t="n">
        <x:v>46257</x:v>
      </x:c>
      <x:c r="C20" s="71" t="str">
        <x:v>Normal</x:v>
      </x:c>
      <x:c r="D20" s="71" t="str">
        <x:v>FG-024</x:v>
      </x:c>
      <x:c r="E20" s="71" t="str">
        <x:v>RM-063</x:v>
      </x:c>
      <x:c r="F20" s="71" t="str">
        <x:v>Filler 063</x:v>
      </x:c>
      <x:c r="G20" s="76" t="n">
        <x:v>10</x:v>
      </x:c>
      <x:c r="H20" s="76" t="n">
        <x:v>116.22</x:v>
      </x:c>
      <x:c r="I20" s="76" t="n">
        <x:f>G20*H20</x:f>
        <x:v>1162.2</x:v>
      </x:c>
      <x:c r="J20" s="76" t="n">
        <x:f>IFERROR(INDEX('Inventory'!$E$2:$E$71,MATCH(E20,'Inventory'!$A$2:$A$71,0)),0)</x:f>
        <x:v>7508</x:v>
      </x:c>
      <x:c r="K20" s="76" t="n">
        <x:f>IFERROR(INDEX('Inventory'!$F$2:$F$71,MATCH(E20,'Inventory'!$A$2:$A$71,0)),0)</x:f>
        <x:v>1090</x:v>
      </x:c>
      <x:c r="L20" s="76" t="n">
        <x:f>SUMIFS('Open_POs'!$D$2:$D$26,'Open_POs'!$B$2:$B$26,E20,'Open_POs'!$E$2:$E$26,"&lt;="&amp;B20)</x:f>
        <x:v>0</x:v>
      </x:c>
      <x:c r="M20" s="76" t="n">
        <x:f>J20+L20</x:f>
        <x:v>7508</x:v>
      </x:c>
      <x:c r="N20" s="76" t="n">
        <x:f>SUMIFS($I$2:I20,$E$2:E20,E20)</x:f>
        <x:v>1162.2</x:v>
      </x:c>
      <x:c r="O20" s="76" t="n">
        <x:f>M20-N20</x:f>
        <x:v>6345.8</x:v>
      </x:c>
      <x:c r="P20" s="71" t="str">
        <x:f>IF(O20&lt;0,"SHORT",IF(O20&lt;K20,"BELOW TARGET","COVERED"))</x:f>
        <x:v>COVERED</x:v>
      </x:c>
      <x:c r="Q20" s="63" t="str">
        <x:f>IF(AND(P20="SHORT",COUNTIFS($E$2:E20,E20,$P$2:P20,"SHORT")=1),B20,"")</x:f>
      </x:c>
    </x:row>
    <x:row r="21" ht="15" customHeight="1">
      <x:c r="A21" s="71" t="str">
        <x:v>SO-26083</x:v>
      </x:c>
      <x:c r="B21" s="75" t="n">
        <x:v>46257</x:v>
      </x:c>
      <x:c r="C21" s="71" t="str">
        <x:v>Normal</x:v>
      </x:c>
      <x:c r="D21" s="71" t="str">
        <x:v>FG-021</x:v>
      </x:c>
      <x:c r="E21" s="71" t="str">
        <x:v>RM-001</x:v>
      </x:c>
      <x:c r="F21" s="71" t="str">
        <x:v>Resin 001</x:v>
      </x:c>
      <x:c r="G21" s="76" t="n">
        <x:v>100</x:v>
      </x:c>
      <x:c r="H21" s="76" t="n">
        <x:v>56.97</x:v>
      </x:c>
      <x:c r="I21" s="76" t="n">
        <x:f>G21*H21</x:f>
        <x:v>5697</x:v>
      </x:c>
      <x:c r="J21" s="76" t="n">
        <x:f>IFERROR(INDEX('Inventory'!$E$2:$E$71,MATCH(E21,'Inventory'!$A$2:$A$71,0)),0)</x:f>
        <x:v>9214</x:v>
      </x:c>
      <x:c r="K21" s="76" t="n">
        <x:f>IFERROR(INDEX('Inventory'!$F$2:$F$71,MATCH(E21,'Inventory'!$A$2:$A$71,0)),0)</x:f>
        <x:v>713</x:v>
      </x:c>
      <x:c r="L21" s="76" t="n">
        <x:f>SUMIFS('Open_POs'!$D$2:$D$26,'Open_POs'!$B$2:$B$26,E21,'Open_POs'!$E$2:$E$26,"&lt;="&amp;B21)</x:f>
        <x:v>0</x:v>
      </x:c>
      <x:c r="M21" s="76" t="n">
        <x:f>J21+L21</x:f>
        <x:v>9214</x:v>
      </x:c>
      <x:c r="N21" s="76" t="n">
        <x:f>SUMIFS($I$2:I21,$E$2:E21,E21)</x:f>
        <x:v>5697</x:v>
      </x:c>
      <x:c r="O21" s="76" t="n">
        <x:f>M21-N21</x:f>
        <x:v>3517</x:v>
      </x:c>
      <x:c r="P21" s="71" t="str">
        <x:f>IF(O21&lt;0,"SHORT",IF(O21&lt;K21,"BELOW TARGET","COVERED"))</x:f>
        <x:v>COVERED</x:v>
      </x:c>
      <x:c r="Q21" s="63" t="str">
        <x:f>IF(AND(P21="SHORT",COUNTIFS($E$2:E21,E21,$P$2:P21,"SHORT")=1),B21,"")</x:f>
      </x:c>
    </x:row>
    <x:row r="22" ht="15" customHeight="1">
      <x:c r="A22" s="71" t="str">
        <x:v>SO-26083</x:v>
      </x:c>
      <x:c r="B22" s="75" t="n">
        <x:v>46257</x:v>
      </x:c>
      <x:c r="C22" s="71" t="str">
        <x:v>Normal</x:v>
      </x:c>
      <x:c r="D22" s="71" t="str">
        <x:v>FG-021</x:v>
      </x:c>
      <x:c r="E22" s="71" t="str">
        <x:v>RM-013</x:v>
      </x:c>
      <x:c r="F22" s="71" t="str">
        <x:v>Filler 013</x:v>
      </x:c>
      <x:c r="G22" s="76" t="n">
        <x:v>100</x:v>
      </x:c>
      <x:c r="H22" s="76" t="n">
        <x:v>14.71</x:v>
      </x:c>
      <x:c r="I22" s="76" t="n">
        <x:f>G22*H22</x:f>
        <x:v>1471</x:v>
      </x:c>
      <x:c r="J22" s="76" t="n">
        <x:f>IFERROR(INDEX('Inventory'!$E$2:$E$71,MATCH(E22,'Inventory'!$A$2:$A$71,0)),0)</x:f>
        <x:v>16230</x:v>
      </x:c>
      <x:c r="K22" s="76" t="n">
        <x:f>IFERROR(INDEX('Inventory'!$F$2:$F$71,MATCH(E22,'Inventory'!$A$2:$A$71,0)),0)</x:f>
        <x:v>1037</x:v>
      </x:c>
      <x:c r="L22" s="76" t="n">
        <x:f>SUMIFS('Open_POs'!$D$2:$D$26,'Open_POs'!$B$2:$B$26,E22,'Open_POs'!$E$2:$E$26,"&lt;="&amp;B22)</x:f>
        <x:v>0</x:v>
      </x:c>
      <x:c r="M22" s="76" t="n">
        <x:f>J22+L22</x:f>
        <x:v>16230</x:v>
      </x:c>
      <x:c r="N22" s="76" t="n">
        <x:f>SUMIFS($I$2:I22,$E$2:E22,E22)</x:f>
        <x:v>1970.2</x:v>
      </x:c>
      <x:c r="O22" s="76" t="n">
        <x:f>M22-N22</x:f>
        <x:v>14259.8</x:v>
      </x:c>
      <x:c r="P22" s="71" t="str">
        <x:f>IF(O22&lt;0,"SHORT",IF(O22&lt;K22,"BELOW TARGET","COVERED"))</x:f>
        <x:v>COVERED</x:v>
      </x:c>
      <x:c r="Q22" s="63" t="str">
        <x:f>IF(AND(P22="SHORT",COUNTIFS($E$2:E22,E22,$P$2:P22,"SHORT")=1),B22,"")</x:f>
      </x:c>
    </x:row>
    <x:row r="23" ht="15" customHeight="1">
      <x:c r="A23" s="71" t="str">
        <x:v>SO-26083</x:v>
      </x:c>
      <x:c r="B23" s="75" t="n">
        <x:v>46257</x:v>
      </x:c>
      <x:c r="C23" s="71" t="str">
        <x:v>Normal</x:v>
      </x:c>
      <x:c r="D23" s="71" t="str">
        <x:v>FG-021</x:v>
      </x:c>
      <x:c r="E23" s="71" t="str">
        <x:v>RM-018</x:v>
      </x:c>
      <x:c r="F23" s="71" t="str">
        <x:v>Filler 018</x:v>
      </x:c>
      <x:c r="G23" s="76" t="n">
        <x:v>100</x:v>
      </x:c>
      <x:c r="H23" s="76" t="n">
        <x:v>37.67</x:v>
      </x:c>
      <x:c r="I23" s="76" t="n">
        <x:f>G23*H23</x:f>
        <x:v>3767</x:v>
      </x:c>
      <x:c r="J23" s="76" t="n">
        <x:f>IFERROR(INDEX('Inventory'!$E$2:$E$71,MATCH(E23,'Inventory'!$A$2:$A$71,0)),0)</x:f>
        <x:v>17607</x:v>
      </x:c>
      <x:c r="K23" s="76" t="n">
        <x:f>IFERROR(INDEX('Inventory'!$F$2:$F$71,MATCH(E23,'Inventory'!$A$2:$A$71,0)),0)</x:f>
        <x:v>302</x:v>
      </x:c>
      <x:c r="L23" s="76" t="n">
        <x:f>SUMIFS('Open_POs'!$D$2:$D$26,'Open_POs'!$B$2:$B$26,E23,'Open_POs'!$E$2:$E$26,"&lt;="&amp;B23)</x:f>
        <x:v>0</x:v>
      </x:c>
      <x:c r="M23" s="76" t="n">
        <x:f>J23+L23</x:f>
        <x:v>17607</x:v>
      </x:c>
      <x:c r="N23" s="76" t="n">
        <x:f>SUMIFS($I$2:I23,$E$2:E23,E23)</x:f>
        <x:v>3767</x:v>
      </x:c>
      <x:c r="O23" s="76" t="n">
        <x:f>M23-N23</x:f>
        <x:v>13840</x:v>
      </x:c>
      <x:c r="P23" s="71" t="str">
        <x:f>IF(O23&lt;0,"SHORT",IF(O23&lt;K23,"BELOW TARGET","COVERED"))</x:f>
        <x:v>COVERED</x:v>
      </x:c>
      <x:c r="Q23" s="63" t="str">
        <x:f>IF(AND(P23="SHORT",COUNTIFS($E$2:E23,E23,$P$2:P23,"SHORT")=1),B23,"")</x:f>
      </x:c>
    </x:row>
    <x:row r="24" ht="15" customHeight="1">
      <x:c r="A24" s="71" t="str">
        <x:v>SO-26083</x:v>
      </x:c>
      <x:c r="B24" s="75" t="n">
        <x:v>46257</x:v>
      </x:c>
      <x:c r="C24" s="71" t="str">
        <x:v>Normal</x:v>
      </x:c>
      <x:c r="D24" s="71" t="str">
        <x:v>FG-021</x:v>
      </x:c>
      <x:c r="E24" s="71" t="str">
        <x:v>RM-020</x:v>
      </x:c>
      <x:c r="F24" s="71" t="str">
        <x:v>Packaging 020</x:v>
      </x:c>
      <x:c r="G24" s="76" t="n">
        <x:v>100</x:v>
      </x:c>
      <x:c r="H24" s="76" t="n">
        <x:v>51.42</x:v>
      </x:c>
      <x:c r="I24" s="76" t="n">
        <x:f>G24*H24</x:f>
        <x:v>5142</x:v>
      </x:c>
      <x:c r="J24" s="76" t="n">
        <x:f>IFERROR(INDEX('Inventory'!$E$2:$E$71,MATCH(E24,'Inventory'!$A$2:$A$71,0)),0)</x:f>
        <x:v>10528</x:v>
      </x:c>
      <x:c r="K24" s="76" t="n">
        <x:f>IFERROR(INDEX('Inventory'!$F$2:$F$71,MATCH(E24,'Inventory'!$A$2:$A$71,0)),0)</x:f>
        <x:v>881</x:v>
      </x:c>
      <x:c r="L24" s="76" t="n">
        <x:f>SUMIFS('Open_POs'!$D$2:$D$26,'Open_POs'!$B$2:$B$26,E24,'Open_POs'!$E$2:$E$26,"&lt;="&amp;B24)</x:f>
        <x:v>0</x:v>
      </x:c>
      <x:c r="M24" s="76" t="n">
        <x:f>J24+L24</x:f>
        <x:v>10528</x:v>
      </x:c>
      <x:c r="N24" s="76" t="n">
        <x:f>SUMIFS($I$2:I24,$E$2:E24,E24)</x:f>
        <x:v>5142</x:v>
      </x:c>
      <x:c r="O24" s="76" t="n">
        <x:f>M24-N24</x:f>
        <x:v>5386</x:v>
      </x:c>
      <x:c r="P24" s="71" t="str">
        <x:f>IF(O24&lt;0,"SHORT",IF(O24&lt;K24,"BELOW TARGET","COVERED"))</x:f>
        <x:v>COVERED</x:v>
      </x:c>
      <x:c r="Q24" s="63" t="str">
        <x:f>IF(AND(P24="SHORT",COUNTIFS($E$2:E24,E24,$P$2:P24,"SHORT")=1),B24,"")</x:f>
      </x:c>
    </x:row>
    <x:row r="25" ht="15" customHeight="1">
      <x:c r="A25" s="71" t="str">
        <x:v>SO-26083</x:v>
      </x:c>
      <x:c r="B25" s="75" t="n">
        <x:v>46257</x:v>
      </x:c>
      <x:c r="C25" s="71" t="str">
        <x:v>Normal</x:v>
      </x:c>
      <x:c r="D25" s="71" t="str">
        <x:v>FG-021</x:v>
      </x:c>
      <x:c r="E25" s="71" t="str">
        <x:v>RM-044</x:v>
      </x:c>
      <x:c r="F25" s="71" t="str">
        <x:v>Additive 044</x:v>
      </x:c>
      <x:c r="G25" s="76" t="n">
        <x:v>100</x:v>
      </x:c>
      <x:c r="H25" s="76" t="n">
        <x:v>70.82</x:v>
      </x:c>
      <x:c r="I25" s="76" t="n">
        <x:f>G25*H25</x:f>
        <x:v>7081.999999999999</x:v>
      </x:c>
      <x:c r="J25" s="76" t="n">
        <x:f>IFERROR(INDEX('Inventory'!$E$2:$E$71,MATCH(E25,'Inventory'!$A$2:$A$71,0)),0)</x:f>
        <x:v>10361</x:v>
      </x:c>
      <x:c r="K25" s="76" t="n">
        <x:f>IFERROR(INDEX('Inventory'!$F$2:$F$71,MATCH(E25,'Inventory'!$A$2:$A$71,0)),0)</x:f>
        <x:v>571</x:v>
      </x:c>
      <x:c r="L25" s="76" t="n">
        <x:f>SUMIFS('Open_POs'!$D$2:$D$26,'Open_POs'!$B$2:$B$26,E25,'Open_POs'!$E$2:$E$26,"&lt;="&amp;B25)</x:f>
        <x:v>0</x:v>
      </x:c>
      <x:c r="M25" s="76" t="n">
        <x:f>J25+L25</x:f>
        <x:v>10361</x:v>
      </x:c>
      <x:c r="N25" s="76" t="n">
        <x:f>SUMIFS($I$2:I25,$E$2:E25,E25)</x:f>
        <x:v>8005.199999999999</x:v>
      </x:c>
      <x:c r="O25" s="76" t="n">
        <x:f>M25-N25</x:f>
        <x:v>2355.800000000001</x:v>
      </x:c>
      <x:c r="P25" s="71" t="str">
        <x:f>IF(O25&lt;0,"SHORT",IF(O25&lt;K25,"BELOW TARGET","COVERED"))</x:f>
        <x:v>COVERED</x:v>
      </x:c>
      <x:c r="Q25" s="63" t="str">
        <x:f>IF(AND(P25="SHORT",COUNTIFS($E$2:E25,E25,$P$2:P25,"SHORT")=1),B25,"")</x:f>
      </x:c>
    </x:row>
    <x:row r="26" ht="15" customHeight="1">
      <x:c r="A26" s="71" t="str">
        <x:v>SO-26083</x:v>
      </x:c>
      <x:c r="B26" s="75" t="n">
        <x:v>46257</x:v>
      </x:c>
      <x:c r="C26" s="71" t="str">
        <x:v>Normal</x:v>
      </x:c>
      <x:c r="D26" s="71" t="str">
        <x:v>FG-021</x:v>
      </x:c>
      <x:c r="E26" s="71" t="str">
        <x:v>RM-046</x:v>
      </x:c>
      <x:c r="F26" s="71" t="str">
        <x:v>Resin 046</x:v>
      </x:c>
      <x:c r="G26" s="76" t="n">
        <x:v>100</x:v>
      </x:c>
      <x:c r="H26" s="76" t="n">
        <x:v>25.17</x:v>
      </x:c>
      <x:c r="I26" s="76" t="n">
        <x:f>G26*H26</x:f>
        <x:v>2517</x:v>
      </x:c>
      <x:c r="J26" s="76" t="n">
        <x:f>IFERROR(INDEX('Inventory'!$E$2:$E$71,MATCH(E26,'Inventory'!$A$2:$A$71,0)),0)</x:f>
        <x:v>15936</x:v>
      </x:c>
      <x:c r="K26" s="76" t="n">
        <x:f>IFERROR(INDEX('Inventory'!$F$2:$F$71,MATCH(E26,'Inventory'!$A$2:$A$71,0)),0)</x:f>
        <x:v>991</x:v>
      </x:c>
      <x:c r="L26" s="76" t="n">
        <x:f>SUMIFS('Open_POs'!$D$2:$D$26,'Open_POs'!$B$2:$B$26,E26,'Open_POs'!$E$2:$E$26,"&lt;="&amp;B26)</x:f>
        <x:v>0</x:v>
      </x:c>
      <x:c r="M26" s="76" t="n">
        <x:f>J26+L26</x:f>
        <x:v>15936</x:v>
      </x:c>
      <x:c r="N26" s="76" t="n">
        <x:f>SUMIFS($I$2:I26,$E$2:E26,E26)</x:f>
        <x:v>2517</x:v>
      </x:c>
      <x:c r="O26" s="76" t="n">
        <x:f>M26-N26</x:f>
        <x:v>13419</x:v>
      </x:c>
      <x:c r="P26" s="71" t="str">
        <x:f>IF(O26&lt;0,"SHORT",IF(O26&lt;K26,"BELOW TARGET","COVERED"))</x:f>
        <x:v>COVERED</x:v>
      </x:c>
      <x:c r="Q26" s="63" t="str">
        <x:f>IF(AND(P26="SHORT",COUNTIFS($E$2:E26,E26,$P$2:P26,"SHORT")=1),B26,"")</x:f>
      </x:c>
    </x:row>
    <x:row r="27" ht="15" customHeight="1">
      <x:c r="A27" s="71" t="str">
        <x:v>SO-26083</x:v>
      </x:c>
      <x:c r="B27" s="75" t="n">
        <x:v>46257</x:v>
      </x:c>
      <x:c r="C27" s="71" t="str">
        <x:v>Normal</x:v>
      </x:c>
      <x:c r="D27" s="71" t="str">
        <x:v>FG-021</x:v>
      </x:c>
      <x:c r="E27" s="71" t="str">
        <x:v>RM-063</x:v>
      </x:c>
      <x:c r="F27" s="71" t="str">
        <x:v>Filler 063</x:v>
      </x:c>
      <x:c r="G27" s="76" t="n">
        <x:v>100</x:v>
      </x:c>
      <x:c r="H27" s="76" t="n">
        <x:v>76.56</x:v>
      </x:c>
      <x:c r="I27" s="76" t="n">
        <x:f>G27*H27</x:f>
        <x:v>7656</x:v>
      </x:c>
      <x:c r="J27" s="76" t="n">
        <x:f>IFERROR(INDEX('Inventory'!$E$2:$E$71,MATCH(E27,'Inventory'!$A$2:$A$71,0)),0)</x:f>
        <x:v>7508</x:v>
      </x:c>
      <x:c r="K27" s="76" t="n">
        <x:f>IFERROR(INDEX('Inventory'!$F$2:$F$71,MATCH(E27,'Inventory'!$A$2:$A$71,0)),0)</x:f>
        <x:v>1090</x:v>
      </x:c>
      <x:c r="L27" s="76" t="n">
        <x:f>SUMIFS('Open_POs'!$D$2:$D$26,'Open_POs'!$B$2:$B$26,E27,'Open_POs'!$E$2:$E$26,"&lt;="&amp;B27)</x:f>
        <x:v>0</x:v>
      </x:c>
      <x:c r="M27" s="76" t="n">
        <x:f>J27+L27</x:f>
        <x:v>7508</x:v>
      </x:c>
      <x:c r="N27" s="76" t="n">
        <x:f>SUMIFS($I$2:I27,$E$2:E27,E27)</x:f>
        <x:v>8818.2</x:v>
      </x:c>
      <x:c r="O27" s="76" t="n">
        <x:f>M27-N27</x:f>
        <x:v>-1310.2000000000007</x:v>
      </x:c>
      <x:c r="P27" s="71" t="str">
        <x:f>IF(O27&lt;0,"SHORT",IF(O27&lt;K27,"BELOW TARGET","COVERED"))</x:f>
        <x:v>SHORT</x:v>
      </x:c>
      <x:c r="Q27" s="63" t="n">
        <x:f>IF(AND(P27="SHORT",COUNTIFS($E$2:E27,E27,$P$2:P27,"SHORT")=1),B27,"")</x:f>
        <x:v>46257</x:v>
      </x:c>
    </x:row>
    <x:row r="28" ht="15" customHeight="1">
      <x:c r="A28" s="71" t="str">
        <x:v>SO-26029</x:v>
      </x:c>
      <x:c r="B28" s="75" t="n">
        <x:v>46258</x:v>
      </x:c>
      <x:c r="C28" s="71" t="str">
        <x:v>High</x:v>
      </x:c>
      <x:c r="D28" s="71" t="str">
        <x:v>FG-013</x:v>
      </x:c>
      <x:c r="E28" s="71" t="str">
        <x:v>RM-020</x:v>
      </x:c>
      <x:c r="F28" s="71" t="str">
        <x:v>Packaging 020</x:v>
      </x:c>
      <x:c r="G28" s="76" t="n">
        <x:v>100</x:v>
      </x:c>
      <x:c r="H28" s="76" t="n">
        <x:v>43.07</x:v>
      </x:c>
      <x:c r="I28" s="76" t="n">
        <x:f>G28*H28</x:f>
        <x:v>4307</x:v>
      </x:c>
      <x:c r="J28" s="76" t="n">
        <x:f>IFERROR(INDEX('Inventory'!$E$2:$E$71,MATCH(E28,'Inventory'!$A$2:$A$71,0)),0)</x:f>
        <x:v>10528</x:v>
      </x:c>
      <x:c r="K28" s="76" t="n">
        <x:f>IFERROR(INDEX('Inventory'!$F$2:$F$71,MATCH(E28,'Inventory'!$A$2:$A$71,0)),0)</x:f>
        <x:v>881</x:v>
      </x:c>
      <x:c r="L28" s="76" t="n">
        <x:f>SUMIFS('Open_POs'!$D$2:$D$26,'Open_POs'!$B$2:$B$26,E28,'Open_POs'!$E$2:$E$26,"&lt;="&amp;B28)</x:f>
        <x:v>0</x:v>
      </x:c>
      <x:c r="M28" s="76" t="n">
        <x:f>J28+L28</x:f>
        <x:v>10528</x:v>
      </x:c>
      <x:c r="N28" s="76" t="n">
        <x:f>SUMIFS($I$2:I28,$E$2:E28,E28)</x:f>
        <x:v>9449</x:v>
      </x:c>
      <x:c r="O28" s="76" t="n">
        <x:f>M28-N28</x:f>
        <x:v>1079</x:v>
      </x:c>
      <x:c r="P28" s="71" t="str">
        <x:f>IF(O28&lt;0,"SHORT",IF(O28&lt;K28,"BELOW TARGET","COVERED"))</x:f>
        <x:v>COVERED</x:v>
      </x:c>
      <x:c r="Q28" s="63" t="str">
        <x:f>IF(AND(P28="SHORT",COUNTIFS($E$2:E28,E28,$P$2:P28,"SHORT")=1),B28,"")</x:f>
      </x:c>
    </x:row>
    <x:row r="29" ht="15" customHeight="1">
      <x:c r="A29" s="71" t="str">
        <x:v>SO-26029</x:v>
      </x:c>
      <x:c r="B29" s="75" t="n">
        <x:v>46258</x:v>
      </x:c>
      <x:c r="C29" s="71" t="str">
        <x:v>High</x:v>
      </x:c>
      <x:c r="D29" s="71" t="str">
        <x:v>FG-013</x:v>
      </x:c>
      <x:c r="E29" s="71" t="str">
        <x:v>RM-025</x:v>
      </x:c>
      <x:c r="F29" s="71" t="str">
        <x:v>Packaging 025</x:v>
      </x:c>
      <x:c r="G29" s="76" t="n">
        <x:v>100</x:v>
      </x:c>
      <x:c r="H29" s="76" t="n">
        <x:v>50.79</x:v>
      </x:c>
      <x:c r="I29" s="76" t="n">
        <x:f>G29*H29</x:f>
        <x:v>5079</x:v>
      </x:c>
      <x:c r="J29" s="76" t="n">
        <x:f>IFERROR(INDEX('Inventory'!$E$2:$E$71,MATCH(E29,'Inventory'!$A$2:$A$71,0)),0)</x:f>
        <x:v>2469</x:v>
      </x:c>
      <x:c r="K29" s="76" t="n">
        <x:f>IFERROR(INDEX('Inventory'!$F$2:$F$71,MATCH(E29,'Inventory'!$A$2:$A$71,0)),0)</x:f>
        <x:v>229</x:v>
      </x:c>
      <x:c r="L29" s="76" t="n">
        <x:f>SUMIFS('Open_POs'!$D$2:$D$26,'Open_POs'!$B$2:$B$26,E29,'Open_POs'!$E$2:$E$26,"&lt;="&amp;B29)</x:f>
        <x:v>0</x:v>
      </x:c>
      <x:c r="M29" s="76" t="n">
        <x:f>J29+L29</x:f>
        <x:v>2469</x:v>
      </x:c>
      <x:c r="N29" s="76" t="n">
        <x:f>SUMIFS($I$2:I29,$E$2:E29,E29)</x:f>
        <x:v>6532.8</x:v>
      </x:c>
      <x:c r="O29" s="76" t="n">
        <x:f>M29-N29</x:f>
        <x:v>-4063.8</x:v>
      </x:c>
      <x:c r="P29" s="71" t="str">
        <x:f>IF(O29&lt;0,"SHORT",IF(O29&lt;K29,"BELOW TARGET","COVERED"))</x:f>
        <x:v>SHORT</x:v>
      </x:c>
      <x:c r="Q29" s="63" t="n">
        <x:f>IF(AND(P29="SHORT",COUNTIFS($E$2:E29,E29,$P$2:P29,"SHORT")=1),B29,"")</x:f>
        <x:v>46258</x:v>
      </x:c>
    </x:row>
    <x:row r="30" ht="15" customHeight="1">
      <x:c r="A30" s="71" t="str">
        <x:v>SO-26029</x:v>
      </x:c>
      <x:c r="B30" s="75" t="n">
        <x:v>46258</x:v>
      </x:c>
      <x:c r="C30" s="71" t="str">
        <x:v>High</x:v>
      </x:c>
      <x:c r="D30" s="71" t="str">
        <x:v>FG-013</x:v>
      </x:c>
      <x:c r="E30" s="71" t="str">
        <x:v>RM-032</x:v>
      </x:c>
      <x:c r="F30" s="71" t="str">
        <x:v>Pigment 032</x:v>
      </x:c>
      <x:c r="G30" s="76" t="n">
        <x:v>100</x:v>
      </x:c>
      <x:c r="H30" s="76" t="n">
        <x:v>11.74</x:v>
      </x:c>
      <x:c r="I30" s="76" t="n">
        <x:f>G30*H30</x:f>
        <x:v>1174</x:v>
      </x:c>
      <x:c r="J30" s="76" t="n">
        <x:f>IFERROR(INDEX('Inventory'!$E$2:$E$71,MATCH(E30,'Inventory'!$A$2:$A$71,0)),0)</x:f>
        <x:v>674</x:v>
      </x:c>
      <x:c r="K30" s="76" t="n">
        <x:f>IFERROR(INDEX('Inventory'!$F$2:$F$71,MATCH(E30,'Inventory'!$A$2:$A$71,0)),0)</x:f>
        <x:v>1056</x:v>
      </x:c>
      <x:c r="L30" s="76" t="n">
        <x:f>SUMIFS('Open_POs'!$D$2:$D$26,'Open_POs'!$B$2:$B$26,E30,'Open_POs'!$E$2:$E$26,"&lt;="&amp;B30)</x:f>
        <x:v>0</x:v>
      </x:c>
      <x:c r="M30" s="76" t="n">
        <x:f>J30+L30</x:f>
        <x:v>674</x:v>
      </x:c>
      <x:c r="N30" s="76" t="n">
        <x:f>SUMIFS($I$2:I30,$E$2:E30,E30)</x:f>
        <x:v>5663.2</x:v>
      </x:c>
      <x:c r="O30" s="76" t="n">
        <x:f>M30-N30</x:f>
        <x:v>-4989.2</x:v>
      </x:c>
      <x:c r="P30" s="71" t="str">
        <x:f>IF(O30&lt;0,"SHORT",IF(O30&lt;K30,"BELOW TARGET","COVERED"))</x:f>
        <x:v>SHORT</x:v>
      </x:c>
      <x:c r="Q30" s="63" t="str">
        <x:f>IF(AND(P30="SHORT",COUNTIFS($E$2:E30,E30,$P$2:P30,"SHORT")=1),B30,"")</x:f>
      </x:c>
    </x:row>
    <x:row r="31" ht="15" customHeight="1">
      <x:c r="A31" s="71" t="str">
        <x:v>SO-26029</x:v>
      </x:c>
      <x:c r="B31" s="75" t="n">
        <x:v>46258</x:v>
      </x:c>
      <x:c r="C31" s="71" t="str">
        <x:v>High</x:v>
      </x:c>
      <x:c r="D31" s="71" t="str">
        <x:v>FG-013</x:v>
      </x:c>
      <x:c r="E31" s="71" t="str">
        <x:v>RM-034</x:v>
      </x:c>
      <x:c r="F31" s="71" t="str">
        <x:v>Additive 034</x:v>
      </x:c>
      <x:c r="G31" s="76" t="n">
        <x:v>100</x:v>
      </x:c>
      <x:c r="H31" s="76" t="n">
        <x:v>81.11</x:v>
      </x:c>
      <x:c r="I31" s="76" t="n">
        <x:f>G31*H31</x:f>
        <x:v>8111</x:v>
      </x:c>
      <x:c r="J31" s="76" t="n">
        <x:f>IFERROR(INDEX('Inventory'!$E$2:$E$71,MATCH(E31,'Inventory'!$A$2:$A$71,0)),0)</x:f>
        <x:v>1971</x:v>
      </x:c>
      <x:c r="K31" s="76" t="n">
        <x:f>IFERROR(INDEX('Inventory'!$F$2:$F$71,MATCH(E31,'Inventory'!$A$2:$A$71,0)),0)</x:f>
        <x:v>1061</x:v>
      </x:c>
      <x:c r="L31" s="76" t="n">
        <x:f>SUMIFS('Open_POs'!$D$2:$D$26,'Open_POs'!$B$2:$B$26,E31,'Open_POs'!$E$2:$E$26,"&lt;="&amp;B31)</x:f>
        <x:v>0</x:v>
      </x:c>
      <x:c r="M31" s="76" t="n">
        <x:f>J31+L31</x:f>
        <x:v>1971</x:v>
      </x:c>
      <x:c r="N31" s="76" t="n">
        <x:f>SUMIFS($I$2:I31,$E$2:E31,E31)</x:f>
        <x:v>8111</x:v>
      </x:c>
      <x:c r="O31" s="76" t="n">
        <x:f>M31-N31</x:f>
        <x:v>-6140</x:v>
      </x:c>
      <x:c r="P31" s="71" t="str">
        <x:f>IF(O31&lt;0,"SHORT",IF(O31&lt;K31,"BELOW TARGET","COVERED"))</x:f>
        <x:v>SHORT</x:v>
      </x:c>
      <x:c r="Q31" s="63" t="n">
        <x:f>IF(AND(P31="SHORT",COUNTIFS($E$2:E31,E31,$P$2:P31,"SHORT")=1),B31,"")</x:f>
        <x:v>46258</x:v>
      </x:c>
    </x:row>
    <x:row r="32" ht="15" customHeight="1">
      <x:c r="A32" s="71" t="str">
        <x:v>SO-26029</x:v>
      </x:c>
      <x:c r="B32" s="75" t="n">
        <x:v>46258</x:v>
      </x:c>
      <x:c r="C32" s="71" t="str">
        <x:v>High</x:v>
      </x:c>
      <x:c r="D32" s="71" t="str">
        <x:v>FG-013</x:v>
      </x:c>
      <x:c r="E32" s="71" t="str">
        <x:v>RM-052</x:v>
      </x:c>
      <x:c r="F32" s="71" t="str">
        <x:v>Pigment 052</x:v>
      </x:c>
      <x:c r="G32" s="76" t="n">
        <x:v>100</x:v>
      </x:c>
      <x:c r="H32" s="76" t="n">
        <x:v>52.29</x:v>
      </x:c>
      <x:c r="I32" s="76" t="n">
        <x:f>G32*H32</x:f>
        <x:v>5229</x:v>
      </x:c>
      <x:c r="J32" s="76" t="n">
        <x:f>IFERROR(INDEX('Inventory'!$E$2:$E$71,MATCH(E32,'Inventory'!$A$2:$A$71,0)),0)</x:f>
        <x:v>6374</x:v>
      </x:c>
      <x:c r="K32" s="76" t="n">
        <x:f>IFERROR(INDEX('Inventory'!$F$2:$F$71,MATCH(E32,'Inventory'!$A$2:$A$71,0)),0)</x:f>
        <x:v>949</x:v>
      </x:c>
      <x:c r="L32" s="76" t="n">
        <x:f>SUMIFS('Open_POs'!$D$2:$D$26,'Open_POs'!$B$2:$B$26,E32,'Open_POs'!$E$2:$E$26,"&lt;="&amp;B32)</x:f>
        <x:v>0</x:v>
      </x:c>
      <x:c r="M32" s="76" t="n">
        <x:f>J32+L32</x:f>
        <x:v>6374</x:v>
      </x:c>
      <x:c r="N32" s="76" t="n">
        <x:f>SUMIFS($I$2:I32,$E$2:E32,E32)</x:f>
        <x:v>5229</x:v>
      </x:c>
      <x:c r="O32" s="76" t="n">
        <x:f>M32-N32</x:f>
        <x:v>1145</x:v>
      </x:c>
      <x:c r="P32" s="71" t="str">
        <x:f>IF(O32&lt;0,"SHORT",IF(O32&lt;K32,"BELOW TARGET","COVERED"))</x:f>
        <x:v>COVERED</x:v>
      </x:c>
      <x:c r="Q32" s="63" t="str">
        <x:f>IF(AND(P32="SHORT",COUNTIFS($E$2:E32,E32,$P$2:P32,"SHORT")=1),B32,"")</x:f>
      </x:c>
    </x:row>
    <x:row r="33" ht="15" customHeight="1">
      <x:c r="A33" s="71" t="str">
        <x:v>SO-26029</x:v>
      </x:c>
      <x:c r="B33" s="75" t="n">
        <x:v>46258</x:v>
      </x:c>
      <x:c r="C33" s="71" t="str">
        <x:v>High</x:v>
      </x:c>
      <x:c r="D33" s="71" t="str">
        <x:v>FG-013</x:v>
      </x:c>
      <x:c r="E33" s="71" t="str">
        <x:v>RM-058</x:v>
      </x:c>
      <x:c r="F33" s="71" t="str">
        <x:v>Filler 058</x:v>
      </x:c>
      <x:c r="G33" s="76" t="n">
        <x:v>100</x:v>
      </x:c>
      <x:c r="H33" s="76" t="n">
        <x:v>57.05</x:v>
      </x:c>
      <x:c r="I33" s="76" t="n">
        <x:f>G33*H33</x:f>
        <x:v>5705</x:v>
      </x:c>
      <x:c r="J33" s="76" t="n">
        <x:f>IFERROR(INDEX('Inventory'!$E$2:$E$71,MATCH(E33,'Inventory'!$A$2:$A$71,0)),0)</x:f>
        <x:v>9929</x:v>
      </x:c>
      <x:c r="K33" s="76" t="n">
        <x:f>IFERROR(INDEX('Inventory'!$F$2:$F$71,MATCH(E33,'Inventory'!$A$2:$A$71,0)),0)</x:f>
        <x:v>701</x:v>
      </x:c>
      <x:c r="L33" s="76" t="n">
        <x:f>SUMIFS('Open_POs'!$D$2:$D$26,'Open_POs'!$B$2:$B$26,E33,'Open_POs'!$E$2:$E$26,"&lt;="&amp;B33)</x:f>
        <x:v>0</x:v>
      </x:c>
      <x:c r="M33" s="76" t="n">
        <x:f>J33+L33</x:f>
        <x:v>9929</x:v>
      </x:c>
      <x:c r="N33" s="76" t="n">
        <x:f>SUMIFS($I$2:I33,$E$2:E33,E33)</x:f>
        <x:v>6251.4</x:v>
      </x:c>
      <x:c r="O33" s="76" t="n">
        <x:f>M33-N33</x:f>
        <x:v>3677.6000000000004</x:v>
      </x:c>
      <x:c r="P33" s="71" t="str">
        <x:f>IF(O33&lt;0,"SHORT",IF(O33&lt;K33,"BELOW TARGET","COVERED"))</x:f>
        <x:v>COVERED</x:v>
      </x:c>
      <x:c r="Q33" s="63" t="str">
        <x:f>IF(AND(P33="SHORT",COUNTIFS($E$2:E33,E33,$P$2:P33,"SHORT")=1),B33,"")</x:f>
      </x:c>
    </x:row>
    <x:row r="34" ht="15" customHeight="1">
      <x:c r="A34" s="71" t="str">
        <x:v>SO-26055</x:v>
      </x:c>
      <x:c r="B34" s="75" t="n">
        <x:v>46258</x:v>
      </x:c>
      <x:c r="C34" s="71" t="str">
        <x:v>High</x:v>
      </x:c>
      <x:c r="D34" s="71" t="str">
        <x:v>FG-018</x:v>
      </x:c>
      <x:c r="E34" s="71" t="str">
        <x:v>RM-009</x:v>
      </x:c>
      <x:c r="F34" s="71" t="str">
        <x:v>Additive 009</x:v>
      </x:c>
      <x:c r="G34" s="76" t="n">
        <x:v>100</x:v>
      </x:c>
      <x:c r="H34" s="76" t="n">
        <x:v>13.87</x:v>
      </x:c>
      <x:c r="I34" s="76" t="n">
        <x:f>G34*H34</x:f>
        <x:v>1387</x:v>
      </x:c>
      <x:c r="J34" s="76" t="n">
        <x:f>IFERROR(INDEX('Inventory'!$E$2:$E$71,MATCH(E34,'Inventory'!$A$2:$A$71,0)),0)</x:f>
        <x:v>13813</x:v>
      </x:c>
      <x:c r="K34" s="76" t="n">
        <x:f>IFERROR(INDEX('Inventory'!$F$2:$F$71,MATCH(E34,'Inventory'!$A$2:$A$71,0)),0)</x:f>
        <x:v>1377</x:v>
      </x:c>
      <x:c r="L34" s="76" t="n">
        <x:f>SUMIFS('Open_POs'!$D$2:$D$26,'Open_POs'!$B$2:$B$26,E34,'Open_POs'!$E$2:$E$26,"&lt;="&amp;B34)</x:f>
        <x:v>0</x:v>
      </x:c>
      <x:c r="M34" s="76" t="n">
        <x:f>J34+L34</x:f>
        <x:v>13813</x:v>
      </x:c>
      <x:c r="N34" s="76" t="n">
        <x:f>SUMIFS($I$2:I34,$E$2:E34,E34)</x:f>
        <x:v>1855.6</x:v>
      </x:c>
      <x:c r="O34" s="76" t="n">
        <x:f>M34-N34</x:f>
        <x:v>11957.4</x:v>
      </x:c>
      <x:c r="P34" s="71" t="str">
        <x:f>IF(O34&lt;0,"SHORT",IF(O34&lt;K34,"BELOW TARGET","COVERED"))</x:f>
        <x:v>COVERED</x:v>
      </x:c>
      <x:c r="Q34" s="63" t="str">
        <x:f>IF(AND(P34="SHORT",COUNTIFS($E$2:E34,E34,$P$2:P34,"SHORT")=1),B34,"")</x:f>
      </x:c>
    </x:row>
    <x:row r="35" ht="15" customHeight="1">
      <x:c r="A35" s="71" t="str">
        <x:v>SO-26055</x:v>
      </x:c>
      <x:c r="B35" s="75" t="n">
        <x:v>46258</x:v>
      </x:c>
      <x:c r="C35" s="71" t="str">
        <x:v>High</x:v>
      </x:c>
      <x:c r="D35" s="71" t="str">
        <x:v>FG-018</x:v>
      </x:c>
      <x:c r="E35" s="71" t="str">
        <x:v>RM-015</x:v>
      </x:c>
      <x:c r="F35" s="71" t="str">
        <x:v>Packaging 015</x:v>
      </x:c>
      <x:c r="G35" s="76" t="n">
        <x:v>100</x:v>
      </x:c>
      <x:c r="H35" s="76" t="n">
        <x:v>70.16</x:v>
      </x:c>
      <x:c r="I35" s="76" t="n">
        <x:f>G35*H35</x:f>
        <x:v>7016</x:v>
      </x:c>
      <x:c r="J35" s="76" t="n">
        <x:f>IFERROR(INDEX('Inventory'!$E$2:$E$71,MATCH(E35,'Inventory'!$A$2:$A$71,0)),0)</x:f>
        <x:v>8914</x:v>
      </x:c>
      <x:c r="K35" s="76" t="n">
        <x:f>IFERROR(INDEX('Inventory'!$F$2:$F$71,MATCH(E35,'Inventory'!$A$2:$A$71,0)),0)</x:f>
        <x:v>1380</x:v>
      </x:c>
      <x:c r="L35" s="76" t="n">
        <x:f>SUMIFS('Open_POs'!$D$2:$D$26,'Open_POs'!$B$2:$B$26,E35,'Open_POs'!$E$2:$E$26,"&lt;="&amp;B35)</x:f>
        <x:v>0</x:v>
      </x:c>
      <x:c r="M35" s="76" t="n">
        <x:f>J35+L35</x:f>
        <x:v>8914</x:v>
      </x:c>
      <x:c r="N35" s="76" t="n">
        <x:f>SUMIFS($I$2:I35,$E$2:E35,E35)</x:f>
        <x:v>7016</x:v>
      </x:c>
      <x:c r="O35" s="76" t="n">
        <x:f>M35-N35</x:f>
        <x:v>1898</x:v>
      </x:c>
      <x:c r="P35" s="71" t="str">
        <x:f>IF(O35&lt;0,"SHORT",IF(O35&lt;K35,"BELOW TARGET","COVERED"))</x:f>
        <x:v>COVERED</x:v>
      </x:c>
      <x:c r="Q35" s="63" t="str">
        <x:f>IF(AND(P35="SHORT",COUNTIFS($E$2:E35,E35,$P$2:P35,"SHORT")=1),B35,"")</x:f>
      </x:c>
    </x:row>
    <x:row r="36" ht="15" customHeight="1">
      <x:c r="A36" s="71" t="str">
        <x:v>SO-26055</x:v>
      </x:c>
      <x:c r="B36" s="75" t="n">
        <x:v>46258</x:v>
      </x:c>
      <x:c r="C36" s="71" t="str">
        <x:v>High</x:v>
      </x:c>
      <x:c r="D36" s="71" t="str">
        <x:v>FG-018</x:v>
      </x:c>
      <x:c r="E36" s="71" t="str">
        <x:v>RM-024</x:v>
      </x:c>
      <x:c r="F36" s="71" t="str">
        <x:v>Additive 024</x:v>
      </x:c>
      <x:c r="G36" s="76" t="n">
        <x:v>100</x:v>
      </x:c>
      <x:c r="H36" s="76" t="n">
        <x:v>44.72</x:v>
      </x:c>
      <x:c r="I36" s="76" t="n">
        <x:f>G36*H36</x:f>
        <x:v>4472</x:v>
      </x:c>
      <x:c r="J36" s="76" t="n">
        <x:f>IFERROR(INDEX('Inventory'!$E$2:$E$71,MATCH(E36,'Inventory'!$A$2:$A$71,0)),0)</x:f>
        <x:v>542</x:v>
      </x:c>
      <x:c r="K36" s="76" t="n">
        <x:f>IFERROR(INDEX('Inventory'!$F$2:$F$71,MATCH(E36,'Inventory'!$A$2:$A$71,0)),0)</x:f>
        <x:v>1356</x:v>
      </x:c>
      <x:c r="L36" s="76" t="n">
        <x:f>SUMIFS('Open_POs'!$D$2:$D$26,'Open_POs'!$B$2:$B$26,E36,'Open_POs'!$E$2:$E$26,"&lt;="&amp;B36)</x:f>
        <x:v>0</x:v>
      </x:c>
      <x:c r="M36" s="76" t="n">
        <x:f>J36+L36</x:f>
        <x:v>542</x:v>
      </x:c>
      <x:c r="N36" s="76" t="n">
        <x:f>SUMIFS($I$2:I36,$E$2:E36,E36)</x:f>
        <x:v>4472</x:v>
      </x:c>
      <x:c r="O36" s="76" t="n">
        <x:f>M36-N36</x:f>
        <x:v>-3930</x:v>
      </x:c>
      <x:c r="P36" s="71" t="str">
        <x:f>IF(O36&lt;0,"SHORT",IF(O36&lt;K36,"BELOW TARGET","COVERED"))</x:f>
        <x:v>SHORT</x:v>
      </x:c>
      <x:c r="Q36" s="63" t="n">
        <x:f>IF(AND(P36="SHORT",COUNTIFS($E$2:E36,E36,$P$2:P36,"SHORT")=1),B36,"")</x:f>
        <x:v>46258</x:v>
      </x:c>
    </x:row>
    <x:row r="37" ht="15" customHeight="1">
      <x:c r="A37" s="71" t="str">
        <x:v>SO-26055</x:v>
      </x:c>
      <x:c r="B37" s="75" t="n">
        <x:v>46258</x:v>
      </x:c>
      <x:c r="C37" s="71" t="str">
        <x:v>High</x:v>
      </x:c>
      <x:c r="D37" s="71" t="str">
        <x:v>FG-018</x:v>
      </x:c>
      <x:c r="E37" s="71" t="str">
        <x:v>RM-025</x:v>
      </x:c>
      <x:c r="F37" s="71" t="str">
        <x:v>Packaging 025</x:v>
      </x:c>
      <x:c r="G37" s="76" t="n">
        <x:v>100</x:v>
      </x:c>
      <x:c r="H37" s="76" t="n">
        <x:v>67.62</x:v>
      </x:c>
      <x:c r="I37" s="76" t="n">
        <x:f>G37*H37</x:f>
        <x:v>6762</x:v>
      </x:c>
      <x:c r="J37" s="76" t="n">
        <x:f>IFERROR(INDEX('Inventory'!$E$2:$E$71,MATCH(E37,'Inventory'!$A$2:$A$71,0)),0)</x:f>
        <x:v>2469</x:v>
      </x:c>
      <x:c r="K37" s="76" t="n">
        <x:f>IFERROR(INDEX('Inventory'!$F$2:$F$71,MATCH(E37,'Inventory'!$A$2:$A$71,0)),0)</x:f>
        <x:v>229</x:v>
      </x:c>
      <x:c r="L37" s="76" t="n">
        <x:f>SUMIFS('Open_POs'!$D$2:$D$26,'Open_POs'!$B$2:$B$26,E37,'Open_POs'!$E$2:$E$26,"&lt;="&amp;B37)</x:f>
        <x:v>0</x:v>
      </x:c>
      <x:c r="M37" s="76" t="n">
        <x:f>J37+L37</x:f>
        <x:v>2469</x:v>
      </x:c>
      <x:c r="N37" s="76" t="n">
        <x:f>SUMIFS($I$2:I37,$E$2:E37,E37)</x:f>
        <x:v>13294.8</x:v>
      </x:c>
      <x:c r="O37" s="76" t="n">
        <x:f>M37-N37</x:f>
        <x:v>-10825.8</x:v>
      </x:c>
      <x:c r="P37" s="71" t="str">
        <x:f>IF(O37&lt;0,"SHORT",IF(O37&lt;K37,"BELOW TARGET","COVERED"))</x:f>
        <x:v>SHORT</x:v>
      </x:c>
      <x:c r="Q37" s="63" t="str">
        <x:f>IF(AND(P37="SHORT",COUNTIFS($E$2:E37,E37,$P$2:P37,"SHORT")=1),B37,"")</x:f>
      </x:c>
    </x:row>
    <x:row r="38" ht="15" customHeight="1">
      <x:c r="A38" s="71" t="str">
        <x:v>SO-26055</x:v>
      </x:c>
      <x:c r="B38" s="75" t="n">
        <x:v>46258</x:v>
      </x:c>
      <x:c r="C38" s="71" t="str">
        <x:v>High</x:v>
      </x:c>
      <x:c r="D38" s="71" t="str">
        <x:v>FG-018</x:v>
      </x:c>
      <x:c r="E38" s="71" t="str">
        <x:v>RM-032</x:v>
      </x:c>
      <x:c r="F38" s="71" t="str">
        <x:v>Pigment 032</x:v>
      </x:c>
      <x:c r="G38" s="76" t="n">
        <x:v>100</x:v>
      </x:c>
      <x:c r="H38" s="76" t="n">
        <x:v>50.14</x:v>
      </x:c>
      <x:c r="I38" s="76" t="n">
        <x:f>G38*H38</x:f>
        <x:v>5014</x:v>
      </x:c>
      <x:c r="J38" s="76" t="n">
        <x:f>IFERROR(INDEX('Inventory'!$E$2:$E$71,MATCH(E38,'Inventory'!$A$2:$A$71,0)),0)</x:f>
        <x:v>674</x:v>
      </x:c>
      <x:c r="K38" s="76" t="n">
        <x:f>IFERROR(INDEX('Inventory'!$F$2:$F$71,MATCH(E38,'Inventory'!$A$2:$A$71,0)),0)</x:f>
        <x:v>1056</x:v>
      </x:c>
      <x:c r="L38" s="76" t="n">
        <x:f>SUMIFS('Open_POs'!$D$2:$D$26,'Open_POs'!$B$2:$B$26,E38,'Open_POs'!$E$2:$E$26,"&lt;="&amp;B38)</x:f>
        <x:v>0</x:v>
      </x:c>
      <x:c r="M38" s="76" t="n">
        <x:f>J38+L38</x:f>
        <x:v>674</x:v>
      </x:c>
      <x:c r="N38" s="76" t="n">
        <x:f>SUMIFS($I$2:I38,$E$2:E38,E38)</x:f>
        <x:v>10677.2</x:v>
      </x:c>
      <x:c r="O38" s="76" t="n">
        <x:f>M38-N38</x:f>
        <x:v>-10003.2</x:v>
      </x:c>
      <x:c r="P38" s="71" t="str">
        <x:f>IF(O38&lt;0,"SHORT",IF(O38&lt;K38,"BELOW TARGET","COVERED"))</x:f>
        <x:v>SHORT</x:v>
      </x:c>
      <x:c r="Q38" s="63" t="str">
        <x:f>IF(AND(P38="SHORT",COUNTIFS($E$2:E38,E38,$P$2:P38,"SHORT")=1),B38,"")</x:f>
      </x:c>
    </x:row>
    <x:row r="39" ht="15" customHeight="1">
      <x:c r="A39" s="71" t="str">
        <x:v>SO-26055</x:v>
      </x:c>
      <x:c r="B39" s="75" t="n">
        <x:v>46258</x:v>
      </x:c>
      <x:c r="C39" s="71" t="str">
        <x:v>High</x:v>
      </x:c>
      <x:c r="D39" s="71" t="str">
        <x:v>FG-018</x:v>
      </x:c>
      <x:c r="E39" s="71" t="str">
        <x:v>RM-034</x:v>
      </x:c>
      <x:c r="F39" s="71" t="str">
        <x:v>Additive 034</x:v>
      </x:c>
      <x:c r="G39" s="76" t="n">
        <x:v>100</x:v>
      </x:c>
      <x:c r="H39" s="76" t="n">
        <x:v>69.42</x:v>
      </x:c>
      <x:c r="I39" s="76" t="n">
        <x:f>G39*H39</x:f>
        <x:v>6942</x:v>
      </x:c>
      <x:c r="J39" s="76" t="n">
        <x:f>IFERROR(INDEX('Inventory'!$E$2:$E$71,MATCH(E39,'Inventory'!$A$2:$A$71,0)),0)</x:f>
        <x:v>1971</x:v>
      </x:c>
      <x:c r="K39" s="76" t="n">
        <x:f>IFERROR(INDEX('Inventory'!$F$2:$F$71,MATCH(E39,'Inventory'!$A$2:$A$71,0)),0)</x:f>
        <x:v>1061</x:v>
      </x:c>
      <x:c r="L39" s="76" t="n">
        <x:f>SUMIFS('Open_POs'!$D$2:$D$26,'Open_POs'!$B$2:$B$26,E39,'Open_POs'!$E$2:$E$26,"&lt;="&amp;B39)</x:f>
        <x:v>0</x:v>
      </x:c>
      <x:c r="M39" s="76" t="n">
        <x:f>J39+L39</x:f>
        <x:v>1971</x:v>
      </x:c>
      <x:c r="N39" s="76" t="n">
        <x:f>SUMIFS($I$2:I39,$E$2:E39,E39)</x:f>
        <x:v>15053</x:v>
      </x:c>
      <x:c r="O39" s="76" t="n">
        <x:f>M39-N39</x:f>
        <x:v>-13082</x:v>
      </x:c>
      <x:c r="P39" s="71" t="str">
        <x:f>IF(O39&lt;0,"SHORT",IF(O39&lt;K39,"BELOW TARGET","COVERED"))</x:f>
        <x:v>SHORT</x:v>
      </x:c>
      <x:c r="Q39" s="63" t="str">
        <x:f>IF(AND(P39="SHORT",COUNTIFS($E$2:E39,E39,$P$2:P39,"SHORT")=1),B39,"")</x:f>
      </x:c>
    </x:row>
    <x:row r="40" ht="15" customHeight="1">
      <x:c r="A40" s="71" t="str">
        <x:v>SO-26055</x:v>
      </x:c>
      <x:c r="B40" s="75" t="n">
        <x:v>46258</x:v>
      </x:c>
      <x:c r="C40" s="71" t="str">
        <x:v>High</x:v>
      </x:c>
      <x:c r="D40" s="71" t="str">
        <x:v>FG-018</x:v>
      </x:c>
      <x:c r="E40" s="71" t="str">
        <x:v>RM-038</x:v>
      </x:c>
      <x:c r="F40" s="71" t="str">
        <x:v>Filler 038</x:v>
      </x:c>
      <x:c r="G40" s="76" t="n">
        <x:v>100</x:v>
      </x:c>
      <x:c r="H40" s="76" t="n">
        <x:v>40.52</x:v>
      </x:c>
      <x:c r="I40" s="76" t="n">
        <x:f>G40*H40</x:f>
        <x:v>4052.0000000000005</x:v>
      </x:c>
      <x:c r="J40" s="76" t="n">
        <x:f>IFERROR(INDEX('Inventory'!$E$2:$E$71,MATCH(E40,'Inventory'!$A$2:$A$71,0)),0)</x:f>
        <x:v>10042</x:v>
      </x:c>
      <x:c r="K40" s="76" t="n">
        <x:f>IFERROR(INDEX('Inventory'!$F$2:$F$71,MATCH(E40,'Inventory'!$A$2:$A$71,0)),0)</x:f>
        <x:v>1452</x:v>
      </x:c>
      <x:c r="L40" s="76" t="n">
        <x:f>SUMIFS('Open_POs'!$D$2:$D$26,'Open_POs'!$B$2:$B$26,E40,'Open_POs'!$E$2:$E$26,"&lt;="&amp;B40)</x:f>
        <x:v>0</x:v>
      </x:c>
      <x:c r="M40" s="76" t="n">
        <x:f>J40+L40</x:f>
        <x:v>10042</x:v>
      </x:c>
      <x:c r="N40" s="76" t="n">
        <x:f>SUMIFS($I$2:I40,$E$2:E40,E40)</x:f>
        <x:v>4052.0000000000005</x:v>
      </x:c>
      <x:c r="O40" s="76" t="n">
        <x:f>M40-N40</x:f>
        <x:v>5990</x:v>
      </x:c>
      <x:c r="P40" s="71" t="str">
        <x:f>IF(O40&lt;0,"SHORT",IF(O40&lt;K40,"BELOW TARGET","COVERED"))</x:f>
        <x:v>COVERED</x:v>
      </x:c>
      <x:c r="Q40" s="63" t="str">
        <x:f>IF(AND(P40="SHORT",COUNTIFS($E$2:E40,E40,$P$2:P40,"SHORT")=1),B40,"")</x:f>
      </x:c>
    </x:row>
    <x:row r="41" ht="15" customHeight="1">
      <x:c r="A41" s="71" t="str">
        <x:v>SO-26055</x:v>
      </x:c>
      <x:c r="B41" s="75" t="n">
        <x:v>46258</x:v>
      </x:c>
      <x:c r="C41" s="71" t="str">
        <x:v>High</x:v>
      </x:c>
      <x:c r="D41" s="71" t="str">
        <x:v>FG-018</x:v>
      </x:c>
      <x:c r="E41" s="71" t="str">
        <x:v>RM-067</x:v>
      </x:c>
      <x:c r="F41" s="71" t="str">
        <x:v>Pigment 067</x:v>
      </x:c>
      <x:c r="G41" s="76" t="n">
        <x:v>100</x:v>
      </x:c>
      <x:c r="H41" s="76" t="n">
        <x:v>26.57</x:v>
      </x:c>
      <x:c r="I41" s="76" t="n">
        <x:f>G41*H41</x:f>
        <x:v>2657</x:v>
      </x:c>
      <x:c r="J41" s="76" t="n">
        <x:f>IFERROR(INDEX('Inventory'!$E$2:$E$71,MATCH(E41,'Inventory'!$A$2:$A$71,0)),0)</x:f>
        <x:v>10786</x:v>
      </x:c>
      <x:c r="K41" s="76" t="n">
        <x:f>IFERROR(INDEX('Inventory'!$F$2:$F$71,MATCH(E41,'Inventory'!$A$2:$A$71,0)),0)</x:f>
        <x:v>335</x:v>
      </x:c>
      <x:c r="L41" s="76" t="n">
        <x:f>SUMIFS('Open_POs'!$D$2:$D$26,'Open_POs'!$B$2:$B$26,E41,'Open_POs'!$E$2:$E$26,"&lt;="&amp;B41)</x:f>
        <x:v>0</x:v>
      </x:c>
      <x:c r="M41" s="76" t="n">
        <x:f>J41+L41</x:f>
        <x:v>10786</x:v>
      </x:c>
      <x:c r="N41" s="76" t="n">
        <x:f>SUMIFS($I$2:I41,$E$2:E41,E41)</x:f>
        <x:v>2657</x:v>
      </x:c>
      <x:c r="O41" s="76" t="n">
        <x:f>M41-N41</x:f>
        <x:v>8129</x:v>
      </x:c>
      <x:c r="P41" s="71" t="str">
        <x:f>IF(O41&lt;0,"SHORT",IF(O41&lt;K41,"BELOW TARGET","COVERED"))</x:f>
        <x:v>COVERED</x:v>
      </x:c>
      <x:c r="Q41" s="63" t="str">
        <x:f>IF(AND(P41="SHORT",COUNTIFS($E$2:E41,E41,$P$2:P41,"SHORT")=1),B41,"")</x:f>
      </x:c>
    </x:row>
    <x:row r="42" ht="15" customHeight="1">
      <x:c r="A42" s="71" t="str">
        <x:v>SO-26006</x:v>
      </x:c>
      <x:c r="B42" s="75" t="n">
        <x:v>46258</x:v>
      </x:c>
      <x:c r="C42" s="71" t="str">
        <x:v>Normal</x:v>
      </x:c>
      <x:c r="D42" s="71" t="str">
        <x:v>FG-010</x:v>
      </x:c>
      <x:c r="E42" s="71" t="str">
        <x:v>RM-009</x:v>
      </x:c>
      <x:c r="F42" s="71" t="str">
        <x:v>Additive 009</x:v>
      </x:c>
      <x:c r="G42" s="76" t="n">
        <x:v>80</x:v>
      </x:c>
      <x:c r="H42" s="76" t="n">
        <x:v>81.38</x:v>
      </x:c>
      <x:c r="I42" s="76" t="n">
        <x:f>G42*H42</x:f>
        <x:v>6510.4</x:v>
      </x:c>
      <x:c r="J42" s="76" t="n">
        <x:f>IFERROR(INDEX('Inventory'!$E$2:$E$71,MATCH(E42,'Inventory'!$A$2:$A$71,0)),0)</x:f>
        <x:v>13813</x:v>
      </x:c>
      <x:c r="K42" s="76" t="n">
        <x:f>IFERROR(INDEX('Inventory'!$F$2:$F$71,MATCH(E42,'Inventory'!$A$2:$A$71,0)),0)</x:f>
        <x:v>1377</x:v>
      </x:c>
      <x:c r="L42" s="76" t="n">
        <x:f>SUMIFS('Open_POs'!$D$2:$D$26,'Open_POs'!$B$2:$B$26,E42,'Open_POs'!$E$2:$E$26,"&lt;="&amp;B42)</x:f>
        <x:v>0</x:v>
      </x:c>
      <x:c r="M42" s="76" t="n">
        <x:f>J42+L42</x:f>
        <x:v>13813</x:v>
      </x:c>
      <x:c r="N42" s="76" t="n">
        <x:f>SUMIFS($I$2:I42,$E$2:E42,E42)</x:f>
        <x:v>8366</x:v>
      </x:c>
      <x:c r="O42" s="76" t="n">
        <x:f>M42-N42</x:f>
        <x:v>5447</x:v>
      </x:c>
      <x:c r="P42" s="71" t="str">
        <x:f>IF(O42&lt;0,"SHORT",IF(O42&lt;K42,"BELOW TARGET","COVERED"))</x:f>
        <x:v>COVERED</x:v>
      </x:c>
      <x:c r="Q42" s="63" t="str">
        <x:f>IF(AND(P42="SHORT",COUNTIFS($E$2:E42,E42,$P$2:P42,"SHORT")=1),B42,"")</x:f>
      </x:c>
    </x:row>
    <x:row r="43" ht="15" customHeight="1">
      <x:c r="A43" s="71" t="str">
        <x:v>SO-26006</x:v>
      </x:c>
      <x:c r="B43" s="75" t="n">
        <x:v>46258</x:v>
      </x:c>
      <x:c r="C43" s="71" t="str">
        <x:v>Normal</x:v>
      </x:c>
      <x:c r="D43" s="71" t="str">
        <x:v>FG-010</x:v>
      </x:c>
      <x:c r="E43" s="71" t="str">
        <x:v>RM-011</x:v>
      </x:c>
      <x:c r="F43" s="71" t="str">
        <x:v>Resin 011</x:v>
      </x:c>
      <x:c r="G43" s="76" t="n">
        <x:v>80</x:v>
      </x:c>
      <x:c r="H43" s="76" t="n">
        <x:v>64.9</x:v>
      </x:c>
      <x:c r="I43" s="76" t="n">
        <x:f>G43*H43</x:f>
        <x:v>5192</x:v>
      </x:c>
      <x:c r="J43" s="76" t="n">
        <x:f>IFERROR(INDEX('Inventory'!$E$2:$E$71,MATCH(E43,'Inventory'!$A$2:$A$71,0)),0)</x:f>
        <x:v>16410</x:v>
      </x:c>
      <x:c r="K43" s="76" t="n">
        <x:f>IFERROR(INDEX('Inventory'!$F$2:$F$71,MATCH(E43,'Inventory'!$A$2:$A$71,0)),0)</x:f>
        <x:v>1275</x:v>
      </x:c>
      <x:c r="L43" s="76" t="n">
        <x:f>SUMIFS('Open_POs'!$D$2:$D$26,'Open_POs'!$B$2:$B$26,E43,'Open_POs'!$E$2:$E$26,"&lt;="&amp;B43)</x:f>
        <x:v>0</x:v>
      </x:c>
      <x:c r="M43" s="76" t="n">
        <x:f>J43+L43</x:f>
        <x:v>16410</x:v>
      </x:c>
      <x:c r="N43" s="76" t="n">
        <x:f>SUMIFS($I$2:I43,$E$2:E43,E43)</x:f>
        <x:v>5896.2</x:v>
      </x:c>
      <x:c r="O43" s="76" t="n">
        <x:f>M43-N43</x:f>
        <x:v>10513.8</x:v>
      </x:c>
      <x:c r="P43" s="71" t="str">
        <x:f>IF(O43&lt;0,"SHORT",IF(O43&lt;K43,"BELOW TARGET","COVERED"))</x:f>
        <x:v>COVERED</x:v>
      </x:c>
      <x:c r="Q43" s="63" t="str">
        <x:f>IF(AND(P43="SHORT",COUNTIFS($E$2:E43,E43,$P$2:P43,"SHORT")=1),B43,"")</x:f>
      </x:c>
    </x:row>
    <x:row r="44" ht="15" customHeight="1">
      <x:c r="A44" s="71" t="str">
        <x:v>SO-26006</x:v>
      </x:c>
      <x:c r="B44" s="75" t="n">
        <x:v>46258</x:v>
      </x:c>
      <x:c r="C44" s="71" t="str">
        <x:v>Normal</x:v>
      </x:c>
      <x:c r="D44" s="71" t="str">
        <x:v>FG-010</x:v>
      </x:c>
      <x:c r="E44" s="71" t="str">
        <x:v>RM-039</x:v>
      </x:c>
      <x:c r="F44" s="71" t="str">
        <x:v>Additive 039</x:v>
      </x:c>
      <x:c r="G44" s="76" t="n">
        <x:v>80</x:v>
      </x:c>
      <x:c r="H44" s="76" t="n">
        <x:v>103.36</x:v>
      </x:c>
      <x:c r="I44" s="76" t="n">
        <x:f>G44*H44</x:f>
        <x:v>8268.8</x:v>
      </x:c>
      <x:c r="J44" s="76" t="n">
        <x:f>IFERROR(INDEX('Inventory'!$E$2:$E$71,MATCH(E44,'Inventory'!$A$2:$A$71,0)),0)</x:f>
        <x:v>15593</x:v>
      </x:c>
      <x:c r="K44" s="76" t="n">
        <x:f>IFERROR(INDEX('Inventory'!$F$2:$F$71,MATCH(E44,'Inventory'!$A$2:$A$71,0)),0)</x:f>
        <x:v>1243</x:v>
      </x:c>
      <x:c r="L44" s="76" t="n">
        <x:f>SUMIFS('Open_POs'!$D$2:$D$26,'Open_POs'!$B$2:$B$26,E44,'Open_POs'!$E$2:$E$26,"&lt;="&amp;B44)</x:f>
        <x:v>0</x:v>
      </x:c>
      <x:c r="M44" s="76" t="n">
        <x:f>J44+L44</x:f>
        <x:v>15593</x:v>
      </x:c>
      <x:c r="N44" s="76" t="n">
        <x:f>SUMIFS($I$2:I44,$E$2:E44,E44)</x:f>
        <x:v>8268.8</x:v>
      </x:c>
      <x:c r="O44" s="76" t="n">
        <x:f>M44-N44</x:f>
        <x:v>7324.200000000001</x:v>
      </x:c>
      <x:c r="P44" s="71" t="str">
        <x:f>IF(O44&lt;0,"SHORT",IF(O44&lt;K44,"BELOW TARGET","COVERED"))</x:f>
        <x:v>COVERED</x:v>
      </x:c>
      <x:c r="Q44" s="63" t="str">
        <x:f>IF(AND(P44="SHORT",COUNTIFS($E$2:E44,E44,$P$2:P44,"SHORT")=1),B44,"")</x:f>
      </x:c>
    </x:row>
    <x:row r="45" ht="15" customHeight="1">
      <x:c r="A45" s="71" t="str">
        <x:v>SO-26006</x:v>
      </x:c>
      <x:c r="B45" s="75" t="n">
        <x:v>46258</x:v>
      </x:c>
      <x:c r="C45" s="71" t="str">
        <x:v>Normal</x:v>
      </x:c>
      <x:c r="D45" s="71" t="str">
        <x:v>FG-010</x:v>
      </x:c>
      <x:c r="E45" s="71" t="str">
        <x:v>RM-042</x:v>
      </x:c>
      <x:c r="F45" s="71" t="str">
        <x:v>Pigment 042</x:v>
      </x:c>
      <x:c r="G45" s="76" t="n">
        <x:v>80</x:v>
      </x:c>
      <x:c r="H45" s="76" t="n">
        <x:v>148.6</x:v>
      </x:c>
      <x:c r="I45" s="76" t="n">
        <x:f>G45*H45</x:f>
        <x:v>11888</x:v>
      </x:c>
      <x:c r="J45" s="76" t="n">
        <x:f>IFERROR(INDEX('Inventory'!$E$2:$E$71,MATCH(E45,'Inventory'!$A$2:$A$71,0)),0)</x:f>
        <x:v>14280</x:v>
      </x:c>
      <x:c r="K45" s="76" t="n">
        <x:f>IFERROR(INDEX('Inventory'!$F$2:$F$71,MATCH(E45,'Inventory'!$A$2:$A$71,0)),0)</x:f>
        <x:v>553</x:v>
      </x:c>
      <x:c r="L45" s="76" t="n">
        <x:f>SUMIFS('Open_POs'!$D$2:$D$26,'Open_POs'!$B$2:$B$26,E45,'Open_POs'!$E$2:$E$26,"&lt;="&amp;B45)</x:f>
        <x:v>0</x:v>
      </x:c>
      <x:c r="M45" s="76" t="n">
        <x:f>J45+L45</x:f>
        <x:v>14280</x:v>
      </x:c>
      <x:c r="N45" s="76" t="n">
        <x:f>SUMIFS($I$2:I45,$E$2:E45,E45)</x:f>
        <x:v>11888</x:v>
      </x:c>
      <x:c r="O45" s="76" t="n">
        <x:f>M45-N45</x:f>
        <x:v>2392</x:v>
      </x:c>
      <x:c r="P45" s="71" t="str">
        <x:f>IF(O45&lt;0,"SHORT",IF(O45&lt;K45,"BELOW TARGET","COVERED"))</x:f>
        <x:v>COVERED</x:v>
      </x:c>
      <x:c r="Q45" s="63" t="str">
        <x:f>IF(AND(P45="SHORT",COUNTIFS($E$2:E45,E45,$P$2:P45,"SHORT")=1),B45,"")</x:f>
      </x:c>
    </x:row>
    <x:row r="46" ht="15" customHeight="1">
      <x:c r="A46" s="71" t="str">
        <x:v>SO-26006</x:v>
      </x:c>
      <x:c r="B46" s="75" t="n">
        <x:v>46258</x:v>
      </x:c>
      <x:c r="C46" s="71" t="str">
        <x:v>Normal</x:v>
      </x:c>
      <x:c r="D46" s="71" t="str">
        <x:v>FG-010</x:v>
      </x:c>
      <x:c r="E46" s="71" t="str">
        <x:v>RM-053</x:v>
      </x:c>
      <x:c r="F46" s="71" t="str">
        <x:v>Filler 053</x:v>
      </x:c>
      <x:c r="G46" s="76" t="n">
        <x:v>80</x:v>
      </x:c>
      <x:c r="H46" s="76" t="n">
        <x:v>62.69</x:v>
      </x:c>
      <x:c r="I46" s="76" t="n">
        <x:f>G46*H46</x:f>
        <x:v>5015.2</x:v>
      </x:c>
      <x:c r="J46" s="76" t="n">
        <x:f>IFERROR(INDEX('Inventory'!$E$2:$E$71,MATCH(E46,'Inventory'!$A$2:$A$71,0)),0)</x:f>
        <x:v>3714</x:v>
      </x:c>
      <x:c r="K46" s="76" t="n">
        <x:f>IFERROR(INDEX('Inventory'!$F$2:$F$71,MATCH(E46,'Inventory'!$A$2:$A$71,0)),0)</x:f>
        <x:v>773</x:v>
      </x:c>
      <x:c r="L46" s="76" t="n">
        <x:f>SUMIFS('Open_POs'!$D$2:$D$26,'Open_POs'!$B$2:$B$26,E46,'Open_POs'!$E$2:$E$26,"&lt;="&amp;B46)</x:f>
        <x:v>0</x:v>
      </x:c>
      <x:c r="M46" s="76" t="n">
        <x:f>J46+L46</x:f>
        <x:v>3714</x:v>
      </x:c>
      <x:c r="N46" s="76" t="n">
        <x:f>SUMIFS($I$2:I46,$E$2:E46,E46)</x:f>
        <x:v>5015.2</x:v>
      </x:c>
      <x:c r="O46" s="76" t="n">
        <x:f>M46-N46</x:f>
        <x:v>-1301.1999999999998</x:v>
      </x:c>
      <x:c r="P46" s="71" t="str">
        <x:f>IF(O46&lt;0,"SHORT",IF(O46&lt;K46,"BELOW TARGET","COVERED"))</x:f>
        <x:v>SHORT</x:v>
      </x:c>
      <x:c r="Q46" s="63" t="n">
        <x:f>IF(AND(P46="SHORT",COUNTIFS($E$2:E46,E46,$P$2:P46,"SHORT")=1),B46,"")</x:f>
        <x:v>46258</x:v>
      </x:c>
    </x:row>
    <x:row r="47" ht="15" customHeight="1">
      <x:c r="A47" s="71" t="str">
        <x:v>SO-26006</x:v>
      </x:c>
      <x:c r="B47" s="75" t="n">
        <x:v>46258</x:v>
      </x:c>
      <x:c r="C47" s="71" t="str">
        <x:v>Normal</x:v>
      </x:c>
      <x:c r="D47" s="71" t="str">
        <x:v>FG-010</x:v>
      </x:c>
      <x:c r="E47" s="71" t="str">
        <x:v>RM-055</x:v>
      </x:c>
      <x:c r="F47" s="71" t="str">
        <x:v>Packaging 055</x:v>
      </x:c>
      <x:c r="G47" s="76" t="n">
        <x:v>80</x:v>
      </x:c>
      <x:c r="H47" s="76" t="n">
        <x:v>29.99</x:v>
      </x:c>
      <x:c r="I47" s="76" t="n">
        <x:f>G47*H47</x:f>
        <x:v>2399.2</x:v>
      </x:c>
      <x:c r="J47" s="76" t="n">
        <x:f>IFERROR(INDEX('Inventory'!$E$2:$E$71,MATCH(E47,'Inventory'!$A$2:$A$71,0)),0)</x:f>
        <x:v>6551</x:v>
      </x:c>
      <x:c r="K47" s="76" t="n">
        <x:f>IFERROR(INDEX('Inventory'!$F$2:$F$71,MATCH(E47,'Inventory'!$A$2:$A$71,0)),0)</x:f>
        <x:v>738</x:v>
      </x:c>
      <x:c r="L47" s="76" t="n">
        <x:f>SUMIFS('Open_POs'!$D$2:$D$26,'Open_POs'!$B$2:$B$26,E47,'Open_POs'!$E$2:$E$26,"&lt;="&amp;B47)</x:f>
        <x:v>0</x:v>
      </x:c>
      <x:c r="M47" s="76" t="n">
        <x:f>J47+L47</x:f>
        <x:v>6551</x:v>
      </x:c>
      <x:c r="N47" s="76" t="n">
        <x:f>SUMIFS($I$2:I47,$E$2:E47,E47)</x:f>
        <x:v>2399.2</x:v>
      </x:c>
      <x:c r="O47" s="76" t="n">
        <x:f>M47-N47</x:f>
        <x:v>4151.8</x:v>
      </x:c>
      <x:c r="P47" s="71" t="str">
        <x:f>IF(O47&lt;0,"SHORT",IF(O47&lt;K47,"BELOW TARGET","COVERED"))</x:f>
        <x:v>COVERED</x:v>
      </x:c>
      <x:c r="Q47" s="63" t="str">
        <x:f>IF(AND(P47="SHORT",COUNTIFS($E$2:E47,E47,$P$2:P47,"SHORT")=1),B47,"")</x:f>
      </x:c>
    </x:row>
    <x:row r="48" ht="15" customHeight="1">
      <x:c r="A48" s="71" t="str">
        <x:v>SO-26006</x:v>
      </x:c>
      <x:c r="B48" s="75" t="n">
        <x:v>46258</x:v>
      </x:c>
      <x:c r="C48" s="71" t="str">
        <x:v>Normal</x:v>
      </x:c>
      <x:c r="D48" s="71" t="str">
        <x:v>FG-010</x:v>
      </x:c>
      <x:c r="E48" s="71" t="str">
        <x:v>RM-059</x:v>
      </x:c>
      <x:c r="F48" s="71" t="str">
        <x:v>Additive 059</x:v>
      </x:c>
      <x:c r="G48" s="76" t="n">
        <x:v>80</x:v>
      </x:c>
      <x:c r="H48" s="76" t="n">
        <x:v>109.43</x:v>
      </x:c>
      <x:c r="I48" s="76" t="n">
        <x:f>G48*H48</x:f>
        <x:v>8754.400000000001</x:v>
      </x:c>
      <x:c r="J48" s="76" t="n">
        <x:f>IFERROR(INDEX('Inventory'!$E$2:$E$71,MATCH(E48,'Inventory'!$A$2:$A$71,0)),0)</x:f>
        <x:v>10488</x:v>
      </x:c>
      <x:c r="K48" s="76" t="n">
        <x:f>IFERROR(INDEX('Inventory'!$F$2:$F$71,MATCH(E48,'Inventory'!$A$2:$A$71,0)),0)</x:f>
        <x:v>1442</x:v>
      </x:c>
      <x:c r="L48" s="76" t="n">
        <x:f>SUMIFS('Open_POs'!$D$2:$D$26,'Open_POs'!$B$2:$B$26,E48,'Open_POs'!$E$2:$E$26,"&lt;="&amp;B48)</x:f>
        <x:v>0</x:v>
      </x:c>
      <x:c r="M48" s="76" t="n">
        <x:f>J48+L48</x:f>
        <x:v>10488</x:v>
      </x:c>
      <x:c r="N48" s="76" t="n">
        <x:f>SUMIFS($I$2:I48,$E$2:E48,E48)</x:f>
        <x:v>8754.400000000001</x:v>
      </x:c>
      <x:c r="O48" s="76" t="n">
        <x:f>M48-N48</x:f>
        <x:v>1733.5999999999985</x:v>
      </x:c>
      <x:c r="P48" s="71" t="str">
        <x:f>IF(O48&lt;0,"SHORT",IF(O48&lt;K48,"BELOW TARGET","COVERED"))</x:f>
        <x:v>COVERED</x:v>
      </x:c>
      <x:c r="Q48" s="63" t="str">
        <x:f>IF(AND(P48="SHORT",COUNTIFS($E$2:E48,E48,$P$2:P48,"SHORT")=1),B48,"")</x:f>
      </x:c>
    </x:row>
    <x:row r="49" ht="15" customHeight="1">
      <x:c r="A49" s="71" t="str">
        <x:v>SO-26006</x:v>
      </x:c>
      <x:c r="B49" s="75" t="n">
        <x:v>46258</x:v>
      </x:c>
      <x:c r="C49" s="71" t="str">
        <x:v>Normal</x:v>
      </x:c>
      <x:c r="D49" s="71" t="str">
        <x:v>FG-010</x:v>
      </x:c>
      <x:c r="E49" s="71" t="str">
        <x:v>RM-063</x:v>
      </x:c>
      <x:c r="F49" s="71" t="str">
        <x:v>Filler 063</x:v>
      </x:c>
      <x:c r="G49" s="76" t="n">
        <x:v>80</x:v>
      </x:c>
      <x:c r="H49" s="76" t="n">
        <x:v>72.93</x:v>
      </x:c>
      <x:c r="I49" s="76" t="n">
        <x:f>G49*H49</x:f>
        <x:v>5834.400000000001</x:v>
      </x:c>
      <x:c r="J49" s="76" t="n">
        <x:f>IFERROR(INDEX('Inventory'!$E$2:$E$71,MATCH(E49,'Inventory'!$A$2:$A$71,0)),0)</x:f>
        <x:v>7508</x:v>
      </x:c>
      <x:c r="K49" s="76" t="n">
        <x:f>IFERROR(INDEX('Inventory'!$F$2:$F$71,MATCH(E49,'Inventory'!$A$2:$A$71,0)),0)</x:f>
        <x:v>1090</x:v>
      </x:c>
      <x:c r="L49" s="76" t="n">
        <x:f>SUMIFS('Open_POs'!$D$2:$D$26,'Open_POs'!$B$2:$B$26,E49,'Open_POs'!$E$2:$E$26,"&lt;="&amp;B49)</x:f>
        <x:v>5000</x:v>
      </x:c>
      <x:c r="M49" s="76" t="n">
        <x:f>J49+L49</x:f>
        <x:v>12508</x:v>
      </x:c>
      <x:c r="N49" s="76" t="n">
        <x:f>SUMIFS($I$2:I49,$E$2:E49,E49)</x:f>
        <x:v>14652.600000000002</x:v>
      </x:c>
      <x:c r="O49" s="76" t="n">
        <x:f>M49-N49</x:f>
        <x:v>-2144.600000000002</x:v>
      </x:c>
      <x:c r="P49" s="71" t="str">
        <x:f>IF(O49&lt;0,"SHORT",IF(O49&lt;K49,"BELOW TARGET","COVERED"))</x:f>
        <x:v>SHORT</x:v>
      </x:c>
      <x:c r="Q49" s="63" t="str">
        <x:f>IF(AND(P49="SHORT",COUNTIFS($E$2:E49,E49,$P$2:P49,"SHORT")=1),B49,"")</x:f>
      </x:c>
    </x:row>
    <x:row r="50" ht="15" customHeight="1">
      <x:c r="A50" s="71" t="str">
        <x:v>SO-26060</x:v>
      </x:c>
      <x:c r="B50" s="75" t="n">
        <x:v>46258</x:v>
      </x:c>
      <x:c r="C50" s="71" t="str">
        <x:v>Normal</x:v>
      </x:c>
      <x:c r="D50" s="71" t="str">
        <x:v>FG-019</x:v>
      </x:c>
      <x:c r="E50" s="71" t="str">
        <x:v>RM-007</x:v>
      </x:c>
      <x:c r="F50" s="71" t="str">
        <x:v>Pigment 007</x:v>
      </x:c>
      <x:c r="G50" s="76" t="n">
        <x:v>50</x:v>
      </x:c>
      <x:c r="H50" s="76" t="n">
        <x:v>64.2</x:v>
      </x:c>
      <x:c r="I50" s="76" t="n">
        <x:f>G50*H50</x:f>
        <x:v>3210</x:v>
      </x:c>
      <x:c r="J50" s="76" t="n">
        <x:f>IFERROR(INDEX('Inventory'!$E$2:$E$71,MATCH(E50,'Inventory'!$A$2:$A$71,0)),0)</x:f>
        <x:v>9115</x:v>
      </x:c>
      <x:c r="K50" s="76" t="n">
        <x:f>IFERROR(INDEX('Inventory'!$F$2:$F$71,MATCH(E50,'Inventory'!$A$2:$A$71,0)),0)</x:f>
        <x:v>230</x:v>
      </x:c>
      <x:c r="L50" s="76" t="n">
        <x:f>SUMIFS('Open_POs'!$D$2:$D$26,'Open_POs'!$B$2:$B$26,E50,'Open_POs'!$E$2:$E$26,"&lt;="&amp;B50)</x:f>
        <x:v>0</x:v>
      </x:c>
      <x:c r="M50" s="76" t="n">
        <x:f>J50+L50</x:f>
        <x:v>9115</x:v>
      </x:c>
      <x:c r="N50" s="76" t="n">
        <x:f>SUMIFS($I$2:I50,$E$2:E50,E50)</x:f>
        <x:v>3210</x:v>
      </x:c>
      <x:c r="O50" s="76" t="n">
        <x:f>M50-N50</x:f>
        <x:v>5905</x:v>
      </x:c>
      <x:c r="P50" s="71" t="str">
        <x:f>IF(O50&lt;0,"SHORT",IF(O50&lt;K50,"BELOW TARGET","COVERED"))</x:f>
        <x:v>COVERED</x:v>
      </x:c>
      <x:c r="Q50" s="63" t="str">
        <x:f>IF(AND(P50="SHORT",COUNTIFS($E$2:E50,E50,$P$2:P50,"SHORT")=1),B50,"")</x:f>
      </x:c>
    </x:row>
    <x:row r="51" ht="15" customHeight="1">
      <x:c r="A51" s="71" t="str">
        <x:v>SO-26060</x:v>
      </x:c>
      <x:c r="B51" s="75" t="n">
        <x:v>46258</x:v>
      </x:c>
      <x:c r="C51" s="71" t="str">
        <x:v>Normal</x:v>
      </x:c>
      <x:c r="D51" s="71" t="str">
        <x:v>FG-019</x:v>
      </x:c>
      <x:c r="E51" s="71" t="str">
        <x:v>RM-014</x:v>
      </x:c>
      <x:c r="F51" s="71" t="str">
        <x:v>Additive 014</x:v>
      </x:c>
      <x:c r="G51" s="76" t="n">
        <x:v>50</x:v>
      </x:c>
      <x:c r="H51" s="76" t="n">
        <x:v>61.33</x:v>
      </x:c>
      <x:c r="I51" s="76" t="n">
        <x:f>G51*H51</x:f>
        <x:v>3066.5</x:v>
      </x:c>
      <x:c r="J51" s="76" t="n">
        <x:f>IFERROR(INDEX('Inventory'!$E$2:$E$71,MATCH(E51,'Inventory'!$A$2:$A$71,0)),0)</x:f>
        <x:v>2788</x:v>
      </x:c>
      <x:c r="K51" s="76" t="n">
        <x:f>IFERROR(INDEX('Inventory'!$F$2:$F$71,MATCH(E51,'Inventory'!$A$2:$A$71,0)),0)</x:f>
        <x:v>1133</x:v>
      </x:c>
      <x:c r="L51" s="76" t="n">
        <x:f>SUMIFS('Open_POs'!$D$2:$D$26,'Open_POs'!$B$2:$B$26,E51,'Open_POs'!$E$2:$E$26,"&lt;="&amp;B51)</x:f>
        <x:v>0</x:v>
      </x:c>
      <x:c r="M51" s="76" t="n">
        <x:f>J51+L51</x:f>
        <x:v>2788</x:v>
      </x:c>
      <x:c r="N51" s="76" t="n">
        <x:f>SUMIFS($I$2:I51,$E$2:E51,E51)</x:f>
        <x:v>3066.5</x:v>
      </x:c>
      <x:c r="O51" s="76" t="n">
        <x:f>M51-N51</x:f>
        <x:v>-278.5</x:v>
      </x:c>
      <x:c r="P51" s="71" t="str">
        <x:f>IF(O51&lt;0,"SHORT",IF(O51&lt;K51,"BELOW TARGET","COVERED"))</x:f>
        <x:v>SHORT</x:v>
      </x:c>
      <x:c r="Q51" s="63" t="n">
        <x:f>IF(AND(P51="SHORT",COUNTIFS($E$2:E51,E51,$P$2:P51,"SHORT")=1),B51,"")</x:f>
        <x:v>46258</x:v>
      </x:c>
    </x:row>
    <x:row r="52" ht="15" customHeight="1">
      <x:c r="A52" s="71" t="str">
        <x:v>SO-26060</x:v>
      </x:c>
      <x:c r="B52" s="75" t="n">
        <x:v>46258</x:v>
      </x:c>
      <x:c r="C52" s="71" t="str">
        <x:v>Normal</x:v>
      </x:c>
      <x:c r="D52" s="71" t="str">
        <x:v>FG-019</x:v>
      </x:c>
      <x:c r="E52" s="71" t="str">
        <x:v>RM-023</x:v>
      </x:c>
      <x:c r="F52" s="71" t="str">
        <x:v>Filler 023</x:v>
      </x:c>
      <x:c r="G52" s="76" t="n">
        <x:v>50</x:v>
      </x:c>
      <x:c r="H52" s="76" t="n">
        <x:v>34.53</x:v>
      </x:c>
      <x:c r="I52" s="76" t="n">
        <x:f>G52*H52</x:f>
        <x:v>1726.5</x:v>
      </x:c>
      <x:c r="J52" s="76" t="n">
        <x:f>IFERROR(INDEX('Inventory'!$E$2:$E$71,MATCH(E52,'Inventory'!$A$2:$A$71,0)),0)</x:f>
        <x:v>3401</x:v>
      </x:c>
      <x:c r="K52" s="76" t="n">
        <x:f>IFERROR(INDEX('Inventory'!$F$2:$F$71,MATCH(E52,'Inventory'!$A$2:$A$71,0)),0)</x:f>
        <x:v>418</x:v>
      </x:c>
      <x:c r="L52" s="76" t="n">
        <x:f>SUMIFS('Open_POs'!$D$2:$D$26,'Open_POs'!$B$2:$B$26,E52,'Open_POs'!$E$2:$E$26,"&lt;="&amp;B52)</x:f>
        <x:v>0</x:v>
      </x:c>
      <x:c r="M52" s="76" t="n">
        <x:f>J52+L52</x:f>
        <x:v>3401</x:v>
      </x:c>
      <x:c r="N52" s="76" t="n">
        <x:f>SUMIFS($I$2:I52,$E$2:E52,E52)</x:f>
        <x:v>3717.3</x:v>
      </x:c>
      <x:c r="O52" s="76" t="n">
        <x:f>M52-N52</x:f>
        <x:v>-316.3000000000002</x:v>
      </x:c>
      <x:c r="P52" s="71" t="str">
        <x:f>IF(O52&lt;0,"SHORT",IF(O52&lt;K52,"BELOW TARGET","COVERED"))</x:f>
        <x:v>SHORT</x:v>
      </x:c>
      <x:c r="Q52" s="63" t="n">
        <x:f>IF(AND(P52="SHORT",COUNTIFS($E$2:E52,E52,$P$2:P52,"SHORT")=1),B52,"")</x:f>
        <x:v>46258</x:v>
      </x:c>
    </x:row>
    <x:row r="53" ht="15" customHeight="1">
      <x:c r="A53" s="71" t="str">
        <x:v>SO-26060</x:v>
      </x:c>
      <x:c r="B53" s="75" t="n">
        <x:v>46258</x:v>
      </x:c>
      <x:c r="C53" s="71" t="str">
        <x:v>Normal</x:v>
      </x:c>
      <x:c r="D53" s="71" t="str">
        <x:v>FG-019</x:v>
      </x:c>
      <x:c r="E53" s="71" t="str">
        <x:v>RM-033</x:v>
      </x:c>
      <x:c r="F53" s="71" t="str">
        <x:v>Filler 033</x:v>
      </x:c>
      <x:c r="G53" s="76" t="n">
        <x:v>50</x:v>
      </x:c>
      <x:c r="H53" s="76" t="n">
        <x:v>41.3</x:v>
      </x:c>
      <x:c r="I53" s="76" t="n">
        <x:f>G53*H53</x:f>
        <x:v>2065</x:v>
      </x:c>
      <x:c r="J53" s="76" t="n">
        <x:f>IFERROR(INDEX('Inventory'!$E$2:$E$71,MATCH(E53,'Inventory'!$A$2:$A$71,0)),0)</x:f>
        <x:v>4157</x:v>
      </x:c>
      <x:c r="K53" s="76" t="n">
        <x:f>IFERROR(INDEX('Inventory'!$F$2:$F$71,MATCH(E53,'Inventory'!$A$2:$A$71,0)),0)</x:f>
        <x:v>1030</x:v>
      </x:c>
      <x:c r="L53" s="76" t="n">
        <x:f>SUMIFS('Open_POs'!$D$2:$D$26,'Open_POs'!$B$2:$B$26,E53,'Open_POs'!$E$2:$E$26,"&lt;="&amp;B53)</x:f>
        <x:v>0</x:v>
      </x:c>
      <x:c r="M53" s="76" t="n">
        <x:f>J53+L53</x:f>
        <x:v>4157</x:v>
      </x:c>
      <x:c r="N53" s="76" t="n">
        <x:f>SUMIFS($I$2:I53,$E$2:E53,E53)</x:f>
        <x:v>2065</x:v>
      </x:c>
      <x:c r="O53" s="76" t="n">
        <x:f>M53-N53</x:f>
        <x:v>2092</x:v>
      </x:c>
      <x:c r="P53" s="71" t="str">
        <x:f>IF(O53&lt;0,"SHORT",IF(O53&lt;K53,"BELOW TARGET","COVERED"))</x:f>
        <x:v>COVERED</x:v>
      </x:c>
      <x:c r="Q53" s="63" t="str">
        <x:f>IF(AND(P53="SHORT",COUNTIFS($E$2:E53,E53,$P$2:P53,"SHORT")=1),B53,"")</x:f>
      </x:c>
    </x:row>
    <x:row r="54" ht="15" customHeight="1">
      <x:c r="A54" s="71" t="str">
        <x:v>SO-26060</x:v>
      </x:c>
      <x:c r="B54" s="75" t="n">
        <x:v>46258</x:v>
      </x:c>
      <x:c r="C54" s="71" t="str">
        <x:v>Normal</x:v>
      </x:c>
      <x:c r="D54" s="71" t="str">
        <x:v>FG-019</x:v>
      </x:c>
      <x:c r="E54" s="71" t="str">
        <x:v>RM-038</x:v>
      </x:c>
      <x:c r="F54" s="71" t="str">
        <x:v>Filler 038</x:v>
      </x:c>
      <x:c r="G54" s="76" t="n">
        <x:v>50</x:v>
      </x:c>
      <x:c r="H54" s="76" t="n">
        <x:v>50.34</x:v>
      </x:c>
      <x:c r="I54" s="76" t="n">
        <x:f>G54*H54</x:f>
        <x:v>2517</x:v>
      </x:c>
      <x:c r="J54" s="76" t="n">
        <x:f>IFERROR(INDEX('Inventory'!$E$2:$E$71,MATCH(E54,'Inventory'!$A$2:$A$71,0)),0)</x:f>
        <x:v>10042</x:v>
      </x:c>
      <x:c r="K54" s="76" t="n">
        <x:f>IFERROR(INDEX('Inventory'!$F$2:$F$71,MATCH(E54,'Inventory'!$A$2:$A$71,0)),0)</x:f>
        <x:v>1452</x:v>
      </x:c>
      <x:c r="L54" s="76" t="n">
        <x:f>SUMIFS('Open_POs'!$D$2:$D$26,'Open_POs'!$B$2:$B$26,E54,'Open_POs'!$E$2:$E$26,"&lt;="&amp;B54)</x:f>
        <x:v>0</x:v>
      </x:c>
      <x:c r="M54" s="76" t="n">
        <x:f>J54+L54</x:f>
        <x:v>10042</x:v>
      </x:c>
      <x:c r="N54" s="76" t="n">
        <x:f>SUMIFS($I$2:I54,$E$2:E54,E54)</x:f>
        <x:v>6569</x:v>
      </x:c>
      <x:c r="O54" s="76" t="n">
        <x:f>M54-N54</x:f>
        <x:v>3473</x:v>
      </x:c>
      <x:c r="P54" s="71" t="str">
        <x:f>IF(O54&lt;0,"SHORT",IF(O54&lt;K54,"BELOW TARGET","COVERED"))</x:f>
        <x:v>COVERED</x:v>
      </x:c>
      <x:c r="Q54" s="63" t="str">
        <x:f>IF(AND(P54="SHORT",COUNTIFS($E$2:E54,E54,$P$2:P54,"SHORT")=1),B54,"")</x:f>
      </x:c>
    </x:row>
    <x:row r="55" ht="15" customHeight="1">
      <x:c r="A55" s="71" t="str">
        <x:v>SO-26060</x:v>
      </x:c>
      <x:c r="B55" s="75" t="n">
        <x:v>46258</x:v>
      </x:c>
      <x:c r="C55" s="71" t="str">
        <x:v>Normal</x:v>
      </x:c>
      <x:c r="D55" s="71" t="str">
        <x:v>FG-019</x:v>
      </x:c>
      <x:c r="E55" s="71" t="str">
        <x:v>RM-041</x:v>
      </x:c>
      <x:c r="F55" s="71" t="str">
        <x:v>Resin 041</x:v>
      </x:c>
      <x:c r="G55" s="76" t="n">
        <x:v>50</x:v>
      </x:c>
      <x:c r="H55" s="76" t="n">
        <x:v>9.3</x:v>
      </x:c>
      <x:c r="I55" s="76" t="n">
        <x:f>G55*H55</x:f>
        <x:v>465.00000000000006</x:v>
      </x:c>
      <x:c r="J55" s="76" t="n">
        <x:f>IFERROR(INDEX('Inventory'!$E$2:$E$71,MATCH(E55,'Inventory'!$A$2:$A$71,0)),0)</x:f>
        <x:v>4635</x:v>
      </x:c>
      <x:c r="K55" s="76" t="n">
        <x:f>IFERROR(INDEX('Inventory'!$F$2:$F$71,MATCH(E55,'Inventory'!$A$2:$A$71,0)),0)</x:f>
        <x:v>987</x:v>
      </x:c>
      <x:c r="L55" s="76" t="n">
        <x:f>SUMIFS('Open_POs'!$D$2:$D$26,'Open_POs'!$B$2:$B$26,E55,'Open_POs'!$E$2:$E$26,"&lt;="&amp;B55)</x:f>
        <x:v>0</x:v>
      </x:c>
      <x:c r="M55" s="76" t="n">
        <x:f>J55+L55</x:f>
        <x:v>4635</x:v>
      </x:c>
      <x:c r="N55" s="76" t="n">
        <x:f>SUMIFS($I$2:I55,$E$2:E55,E55)</x:f>
        <x:v>465.00000000000006</x:v>
      </x:c>
      <x:c r="O55" s="76" t="n">
        <x:f>M55-N55</x:f>
        <x:v>4170</x:v>
      </x:c>
      <x:c r="P55" s="71" t="str">
        <x:f>IF(O55&lt;0,"SHORT",IF(O55&lt;K55,"BELOW TARGET","COVERED"))</x:f>
        <x:v>COVERED</x:v>
      </x:c>
      <x:c r="Q55" s="63" t="str">
        <x:f>IF(AND(P55="SHORT",COUNTIFS($E$2:E55,E55,$P$2:P55,"SHORT")=1),B55,"")</x:f>
      </x:c>
    </x:row>
    <x:row r="56" ht="15" customHeight="1">
      <x:c r="A56" s="71" t="str">
        <x:v>SO-26060</x:v>
      </x:c>
      <x:c r="B56" s="75" t="n">
        <x:v>46258</x:v>
      </x:c>
      <x:c r="C56" s="71" t="str">
        <x:v>Normal</x:v>
      </x:c>
      <x:c r="D56" s="71" t="str">
        <x:v>FG-019</x:v>
      </x:c>
      <x:c r="E56" s="71" t="str">
        <x:v>RM-048</x:v>
      </x:c>
      <x:c r="F56" s="71" t="str">
        <x:v>Filler 048</x:v>
      </x:c>
      <x:c r="G56" s="76" t="n">
        <x:v>50</x:v>
      </x:c>
      <x:c r="H56" s="76" t="n">
        <x:v>41.51</x:v>
      </x:c>
      <x:c r="I56" s="76" t="n">
        <x:f>G56*H56</x:f>
        <x:v>2075.5</x:v>
      </x:c>
      <x:c r="J56" s="76" t="n">
        <x:f>IFERROR(INDEX('Inventory'!$E$2:$E$71,MATCH(E56,'Inventory'!$A$2:$A$71,0)),0)</x:f>
        <x:v>637</x:v>
      </x:c>
      <x:c r="K56" s="76" t="n">
        <x:f>IFERROR(INDEX('Inventory'!$F$2:$F$71,MATCH(E56,'Inventory'!$A$2:$A$71,0)),0)</x:f>
        <x:v>888</x:v>
      </x:c>
      <x:c r="L56" s="76" t="n">
        <x:f>SUMIFS('Open_POs'!$D$2:$D$26,'Open_POs'!$B$2:$B$26,E56,'Open_POs'!$E$2:$E$26,"&lt;="&amp;B56)</x:f>
        <x:v>0</x:v>
      </x:c>
      <x:c r="M56" s="76" t="n">
        <x:f>J56+L56</x:f>
        <x:v>637</x:v>
      </x:c>
      <x:c r="N56" s="76" t="n">
        <x:f>SUMIFS($I$2:I56,$E$2:E56,E56)</x:f>
        <x:v>2075.5</x:v>
      </x:c>
      <x:c r="O56" s="76" t="n">
        <x:f>M56-N56</x:f>
        <x:v>-1438.5</x:v>
      </x:c>
      <x:c r="P56" s="71" t="str">
        <x:f>IF(O56&lt;0,"SHORT",IF(O56&lt;K56,"BELOW TARGET","COVERED"))</x:f>
        <x:v>SHORT</x:v>
      </x:c>
      <x:c r="Q56" s="63" t="n">
        <x:f>IF(AND(P56="SHORT",COUNTIFS($E$2:E56,E56,$P$2:P56,"SHORT")=1),B56,"")</x:f>
        <x:v>46258</x:v>
      </x:c>
    </x:row>
    <x:row r="57" ht="15" customHeight="1">
      <x:c r="A57" s="71" t="str">
        <x:v>SO-26060</x:v>
      </x:c>
      <x:c r="B57" s="75" t="n">
        <x:v>46258</x:v>
      </x:c>
      <x:c r="C57" s="71" t="str">
        <x:v>Normal</x:v>
      </x:c>
      <x:c r="D57" s="71" t="str">
        <x:v>FG-019</x:v>
      </x:c>
      <x:c r="E57" s="71" t="str">
        <x:v>RM-062</x:v>
      </x:c>
      <x:c r="F57" s="71" t="str">
        <x:v>Pigment 062</x:v>
      </x:c>
      <x:c r="G57" s="76" t="n">
        <x:v>50</x:v>
      </x:c>
      <x:c r="H57" s="76" t="n">
        <x:v>9</x:v>
      </x:c>
      <x:c r="I57" s="76" t="n">
        <x:f>G57*H57</x:f>
        <x:v>450</x:v>
      </x:c>
      <x:c r="J57" s="76" t="n">
        <x:f>IFERROR(INDEX('Inventory'!$E$2:$E$71,MATCH(E57,'Inventory'!$A$2:$A$71,0)),0)</x:f>
        <x:v>7110</x:v>
      </x:c>
      <x:c r="K57" s="76" t="n">
        <x:f>IFERROR(INDEX('Inventory'!$F$2:$F$71,MATCH(E57,'Inventory'!$A$2:$A$71,0)),0)</x:f>
        <x:v>1339</x:v>
      </x:c>
      <x:c r="L57" s="76" t="n">
        <x:f>SUMIFS('Open_POs'!$D$2:$D$26,'Open_POs'!$B$2:$B$26,E57,'Open_POs'!$E$2:$E$26,"&lt;="&amp;B57)</x:f>
        <x:v>0</x:v>
      </x:c>
      <x:c r="M57" s="76" t="n">
        <x:f>J57+L57</x:f>
        <x:v>7110</x:v>
      </x:c>
      <x:c r="N57" s="76" t="n">
        <x:f>SUMIFS($I$2:I57,$E$2:E57,E57)</x:f>
        <x:v>450</x:v>
      </x:c>
      <x:c r="O57" s="76" t="n">
        <x:f>M57-N57</x:f>
        <x:v>6660</x:v>
      </x:c>
      <x:c r="P57" s="71" t="str">
        <x:f>IF(O57&lt;0,"SHORT",IF(O57&lt;K57,"BELOW TARGET","COVERED"))</x:f>
        <x:v>COVERED</x:v>
      </x:c>
      <x:c r="Q57" s="63" t="str">
        <x:f>IF(AND(P57="SHORT",COUNTIFS($E$2:E57,E57,$P$2:P57,"SHORT")=1),B57,"")</x:f>
      </x:c>
    </x:row>
    <x:row r="58" ht="15" customHeight="1">
      <x:c r="A58" s="71" t="str">
        <x:v>SO-26035</x:v>
      </x:c>
      <x:c r="B58" s="75" t="n">
        <x:v>46259</x:v>
      </x:c>
      <x:c r="C58" s="71" t="str">
        <x:v>High</x:v>
      </x:c>
      <x:c r="D58" s="71" t="str">
        <x:v>FG-014</x:v>
      </x:c>
      <x:c r="E58" s="71" t="str">
        <x:v>RM-005</x:v>
      </x:c>
      <x:c r="F58" s="71" t="str">
        <x:v>Packaging 005</x:v>
      </x:c>
      <x:c r="G58" s="76" t="n">
        <x:v>30</x:v>
      </x:c>
      <x:c r="H58" s="76" t="n">
        <x:v>58.21</x:v>
      </x:c>
      <x:c r="I58" s="76" t="n">
        <x:f>G58*H58</x:f>
        <x:v>1746.3</x:v>
      </x:c>
      <x:c r="J58" s="76" t="n">
        <x:f>IFERROR(INDEX('Inventory'!$E$2:$E$71,MATCH(E58,'Inventory'!$A$2:$A$71,0)),0)</x:f>
        <x:v>8699</x:v>
      </x:c>
      <x:c r="K58" s="76" t="n">
        <x:f>IFERROR(INDEX('Inventory'!$F$2:$F$71,MATCH(E58,'Inventory'!$A$2:$A$71,0)),0)</x:f>
        <x:v>1174</x:v>
      </x:c>
      <x:c r="L58" s="76" t="n">
        <x:f>SUMIFS('Open_POs'!$D$2:$D$26,'Open_POs'!$B$2:$B$26,E58,'Open_POs'!$E$2:$E$26,"&lt;="&amp;B58)</x:f>
        <x:v>0</x:v>
      </x:c>
      <x:c r="M58" s="76" t="n">
        <x:f>J58+L58</x:f>
        <x:v>8699</x:v>
      </x:c>
      <x:c r="N58" s="76" t="n">
        <x:f>SUMIFS($I$2:I58,$E$2:E58,E58)</x:f>
        <x:v>1746.3</x:v>
      </x:c>
      <x:c r="O58" s="76" t="n">
        <x:f>M58-N58</x:f>
        <x:v>6952.7</x:v>
      </x:c>
      <x:c r="P58" s="71" t="str">
        <x:f>IF(O58&lt;0,"SHORT",IF(O58&lt;K58,"BELOW TARGET","COVERED"))</x:f>
        <x:v>COVERED</x:v>
      </x:c>
      <x:c r="Q58" s="63" t="str">
        <x:f>IF(AND(P58="SHORT",COUNTIFS($E$2:E58,E58,$P$2:P58,"SHORT")=1),B58,"")</x:f>
      </x:c>
    </x:row>
    <x:row r="59" ht="15" customHeight="1">
      <x:c r="A59" s="71" t="str">
        <x:v>SO-26035</x:v>
      </x:c>
      <x:c r="B59" s="75" t="n">
        <x:v>46259</x:v>
      </x:c>
      <x:c r="C59" s="71" t="str">
        <x:v>High</x:v>
      </x:c>
      <x:c r="D59" s="71" t="str">
        <x:v>FG-014</x:v>
      </x:c>
      <x:c r="E59" s="71" t="str">
        <x:v>RM-018</x:v>
      </x:c>
      <x:c r="F59" s="71" t="str">
        <x:v>Filler 018</x:v>
      </x:c>
      <x:c r="G59" s="76" t="n">
        <x:v>30</x:v>
      </x:c>
      <x:c r="H59" s="76" t="n">
        <x:v>24.18</x:v>
      </x:c>
      <x:c r="I59" s="76" t="n">
        <x:f>G59*H59</x:f>
        <x:v>725.4</x:v>
      </x:c>
      <x:c r="J59" s="76" t="n">
        <x:f>IFERROR(INDEX('Inventory'!$E$2:$E$71,MATCH(E59,'Inventory'!$A$2:$A$71,0)),0)</x:f>
        <x:v>17607</x:v>
      </x:c>
      <x:c r="K59" s="76" t="n">
        <x:f>IFERROR(INDEX('Inventory'!$F$2:$F$71,MATCH(E59,'Inventory'!$A$2:$A$71,0)),0)</x:f>
        <x:v>302</x:v>
      </x:c>
      <x:c r="L59" s="76" t="n">
        <x:f>SUMIFS('Open_POs'!$D$2:$D$26,'Open_POs'!$B$2:$B$26,E59,'Open_POs'!$E$2:$E$26,"&lt;="&amp;B59)</x:f>
        <x:v>0</x:v>
      </x:c>
      <x:c r="M59" s="76" t="n">
        <x:f>J59+L59</x:f>
        <x:v>17607</x:v>
      </x:c>
      <x:c r="N59" s="76" t="n">
        <x:f>SUMIFS($I$2:I59,$E$2:E59,E59)</x:f>
        <x:v>4492.4</x:v>
      </x:c>
      <x:c r="O59" s="76" t="n">
        <x:f>M59-N59</x:f>
        <x:v>13114.6</x:v>
      </x:c>
      <x:c r="P59" s="71" t="str">
        <x:f>IF(O59&lt;0,"SHORT",IF(O59&lt;K59,"BELOW TARGET","COVERED"))</x:f>
        <x:v>COVERED</x:v>
      </x:c>
      <x:c r="Q59" s="63" t="str">
        <x:f>IF(AND(P59="SHORT",COUNTIFS($E$2:E59,E59,$P$2:P59,"SHORT")=1),B59,"")</x:f>
      </x:c>
    </x:row>
    <x:row r="60" ht="15" customHeight="1">
      <x:c r="A60" s="71" t="str">
        <x:v>SO-26035</x:v>
      </x:c>
      <x:c r="B60" s="75" t="n">
        <x:v>46259</x:v>
      </x:c>
      <x:c r="C60" s="71" t="str">
        <x:v>High</x:v>
      </x:c>
      <x:c r="D60" s="71" t="str">
        <x:v>FG-014</x:v>
      </x:c>
      <x:c r="E60" s="71" t="str">
        <x:v>RM-031</x:v>
      </x:c>
      <x:c r="F60" s="71" t="str">
        <x:v>Resin 031</x:v>
      </x:c>
      <x:c r="G60" s="76" t="n">
        <x:v>30</x:v>
      </x:c>
      <x:c r="H60" s="76" t="n">
        <x:v>71.8</x:v>
      </x:c>
      <x:c r="I60" s="76" t="n">
        <x:f>G60*H60</x:f>
        <x:v>2154</x:v>
      </x:c>
      <x:c r="J60" s="76" t="n">
        <x:f>IFERROR(INDEX('Inventory'!$E$2:$E$71,MATCH(E60,'Inventory'!$A$2:$A$71,0)),0)</x:f>
        <x:v>6087</x:v>
      </x:c>
      <x:c r="K60" s="76" t="n">
        <x:f>IFERROR(INDEX('Inventory'!$F$2:$F$71,MATCH(E60,'Inventory'!$A$2:$A$71,0)),0)</x:f>
        <x:v>714</x:v>
      </x:c>
      <x:c r="L60" s="76" t="n">
        <x:f>SUMIFS('Open_POs'!$D$2:$D$26,'Open_POs'!$B$2:$B$26,E60,'Open_POs'!$E$2:$E$26,"&lt;="&amp;B60)</x:f>
        <x:v>0</x:v>
      </x:c>
      <x:c r="M60" s="76" t="n">
        <x:f>J60+L60</x:f>
        <x:v>6087</x:v>
      </x:c>
      <x:c r="N60" s="76" t="n">
        <x:f>SUMIFS($I$2:I60,$E$2:E60,E60)</x:f>
        <x:v>2154</x:v>
      </x:c>
      <x:c r="O60" s="76" t="n">
        <x:f>M60-N60</x:f>
        <x:v>3933</x:v>
      </x:c>
      <x:c r="P60" s="71" t="str">
        <x:f>IF(O60&lt;0,"SHORT",IF(O60&lt;K60,"BELOW TARGET","COVERED"))</x:f>
        <x:v>COVERED</x:v>
      </x:c>
      <x:c r="Q60" s="63" t="str">
        <x:f>IF(AND(P60="SHORT",COUNTIFS($E$2:E60,E60,$P$2:P60,"SHORT")=1),B60,"")</x:f>
      </x:c>
    </x:row>
    <x:row r="61" ht="15" customHeight="1">
      <x:c r="A61" s="71" t="str">
        <x:v>SO-26035</x:v>
      </x:c>
      <x:c r="B61" s="75" t="n">
        <x:v>46259</x:v>
      </x:c>
      <x:c r="C61" s="71" t="str">
        <x:v>High</x:v>
      </x:c>
      <x:c r="D61" s="71" t="str">
        <x:v>FG-014</x:v>
      </x:c>
      <x:c r="E61" s="71" t="str">
        <x:v>RM-053</x:v>
      </x:c>
      <x:c r="F61" s="71" t="str">
        <x:v>Filler 053</x:v>
      </x:c>
      <x:c r="G61" s="76" t="n">
        <x:v>30</x:v>
      </x:c>
      <x:c r="H61" s="76" t="n">
        <x:v>98.29</x:v>
      </x:c>
      <x:c r="I61" s="76" t="n">
        <x:f>G61*H61</x:f>
        <x:v>2948.7000000000003</x:v>
      </x:c>
      <x:c r="J61" s="76" t="n">
        <x:f>IFERROR(INDEX('Inventory'!$E$2:$E$71,MATCH(E61,'Inventory'!$A$2:$A$71,0)),0)</x:f>
        <x:v>3714</x:v>
      </x:c>
      <x:c r="K61" s="76" t="n">
        <x:f>IFERROR(INDEX('Inventory'!$F$2:$F$71,MATCH(E61,'Inventory'!$A$2:$A$71,0)),0)</x:f>
        <x:v>773</x:v>
      </x:c>
      <x:c r="L61" s="76" t="n">
        <x:f>SUMIFS('Open_POs'!$D$2:$D$26,'Open_POs'!$B$2:$B$26,E61,'Open_POs'!$E$2:$E$26,"&lt;="&amp;B61)</x:f>
        <x:v>0</x:v>
      </x:c>
      <x:c r="M61" s="76" t="n">
        <x:f>J61+L61</x:f>
        <x:v>3714</x:v>
      </x:c>
      <x:c r="N61" s="76" t="n">
        <x:f>SUMIFS($I$2:I61,$E$2:E61,E61)</x:f>
        <x:v>7963.9</x:v>
      </x:c>
      <x:c r="O61" s="76" t="n">
        <x:f>M61-N61</x:f>
        <x:v>-4249.9</x:v>
      </x:c>
      <x:c r="P61" s="71" t="str">
        <x:f>IF(O61&lt;0,"SHORT",IF(O61&lt;K61,"BELOW TARGET","COVERED"))</x:f>
        <x:v>SHORT</x:v>
      </x:c>
      <x:c r="Q61" s="63" t="str">
        <x:f>IF(AND(P61="SHORT",COUNTIFS($E$2:E61,E61,$P$2:P61,"SHORT")=1),B61,"")</x:f>
      </x:c>
    </x:row>
    <x:row r="62" ht="15" customHeight="1">
      <x:c r="A62" s="71" t="str">
        <x:v>SO-26035</x:v>
      </x:c>
      <x:c r="B62" s="75" t="n">
        <x:v>46259</x:v>
      </x:c>
      <x:c r="C62" s="71" t="str">
        <x:v>High</x:v>
      </x:c>
      <x:c r="D62" s="71" t="str">
        <x:v>FG-014</x:v>
      </x:c>
      <x:c r="E62" s="71" t="str">
        <x:v>RM-058</x:v>
      </x:c>
      <x:c r="F62" s="71" t="str">
        <x:v>Filler 058</x:v>
      </x:c>
      <x:c r="G62" s="76" t="n">
        <x:v>30</x:v>
      </x:c>
      <x:c r="H62" s="76" t="n">
        <x:v>60.28</x:v>
      </x:c>
      <x:c r="I62" s="76" t="n">
        <x:f>G62*H62</x:f>
        <x:v>1808.4</x:v>
      </x:c>
      <x:c r="J62" s="76" t="n">
        <x:f>IFERROR(INDEX('Inventory'!$E$2:$E$71,MATCH(E62,'Inventory'!$A$2:$A$71,0)),0)</x:f>
        <x:v>9929</x:v>
      </x:c>
      <x:c r="K62" s="76" t="n">
        <x:f>IFERROR(INDEX('Inventory'!$F$2:$F$71,MATCH(E62,'Inventory'!$A$2:$A$71,0)),0)</x:f>
        <x:v>701</x:v>
      </x:c>
      <x:c r="L62" s="76" t="n">
        <x:f>SUMIFS('Open_POs'!$D$2:$D$26,'Open_POs'!$B$2:$B$26,E62,'Open_POs'!$E$2:$E$26,"&lt;="&amp;B62)</x:f>
        <x:v>0</x:v>
      </x:c>
      <x:c r="M62" s="76" t="n">
        <x:f>J62+L62</x:f>
        <x:v>9929</x:v>
      </x:c>
      <x:c r="N62" s="76" t="n">
        <x:f>SUMIFS($I$2:I62,$E$2:E62,E62)</x:f>
        <x:v>8059.799999999999</x:v>
      </x:c>
      <x:c r="O62" s="76" t="n">
        <x:f>M62-N62</x:f>
        <x:v>1869.2000000000007</x:v>
      </x:c>
      <x:c r="P62" s="71" t="str">
        <x:f>IF(O62&lt;0,"SHORT",IF(O62&lt;K62,"BELOW TARGET","COVERED"))</x:f>
        <x:v>COVERED</x:v>
      </x:c>
      <x:c r="Q62" s="63" t="str">
        <x:f>IF(AND(P62="SHORT",COUNTIFS($E$2:E62,E62,$P$2:P62,"SHORT")=1),B62,"")</x:f>
      </x:c>
    </x:row>
    <x:row r="63" ht="15" customHeight="1">
      <x:c r="A63" s="71" t="str">
        <x:v>SO-26035</x:v>
      </x:c>
      <x:c r="B63" s="75" t="n">
        <x:v>46259</x:v>
      </x:c>
      <x:c r="C63" s="71" t="str">
        <x:v>High</x:v>
      </x:c>
      <x:c r="D63" s="71" t="str">
        <x:v>FG-014</x:v>
      </x:c>
      <x:c r="E63" s="71" t="str">
        <x:v>RM-063</x:v>
      </x:c>
      <x:c r="F63" s="71" t="str">
        <x:v>Filler 063</x:v>
      </x:c>
      <x:c r="G63" s="76" t="n">
        <x:v>30</x:v>
      </x:c>
      <x:c r="H63" s="76" t="n">
        <x:v>113.92</x:v>
      </x:c>
      <x:c r="I63" s="76" t="n">
        <x:f>G63*H63</x:f>
        <x:v>3417.6</x:v>
      </x:c>
      <x:c r="J63" s="76" t="n">
        <x:f>IFERROR(INDEX('Inventory'!$E$2:$E$71,MATCH(E63,'Inventory'!$A$2:$A$71,0)),0)</x:f>
        <x:v>7508</x:v>
      </x:c>
      <x:c r="K63" s="76" t="n">
        <x:f>IFERROR(INDEX('Inventory'!$F$2:$F$71,MATCH(E63,'Inventory'!$A$2:$A$71,0)),0)</x:f>
        <x:v>1090</x:v>
      </x:c>
      <x:c r="L63" s="76" t="n">
        <x:f>SUMIFS('Open_POs'!$D$2:$D$26,'Open_POs'!$B$2:$B$26,E63,'Open_POs'!$E$2:$E$26,"&lt;="&amp;B63)</x:f>
        <x:v>5000</x:v>
      </x:c>
      <x:c r="M63" s="76" t="n">
        <x:f>J63+L63</x:f>
        <x:v>12508</x:v>
      </x:c>
      <x:c r="N63" s="76" t="n">
        <x:f>SUMIFS($I$2:I63,$E$2:E63,E63)</x:f>
        <x:v>18070.2</x:v>
      </x:c>
      <x:c r="O63" s="76" t="n">
        <x:f>M63-N63</x:f>
        <x:v>-5562.200000000001</x:v>
      </x:c>
      <x:c r="P63" s="71" t="str">
        <x:f>IF(O63&lt;0,"SHORT",IF(O63&lt;K63,"BELOW TARGET","COVERED"))</x:f>
        <x:v>SHORT</x:v>
      </x:c>
      <x:c r="Q63" s="63" t="str">
        <x:f>IF(AND(P63="SHORT",COUNTIFS($E$2:E63,E63,$P$2:P63,"SHORT")=1),B63,"")</x:f>
      </x:c>
    </x:row>
    <x:row r="64" ht="15" customHeight="1">
      <x:c r="A64" s="71" t="str">
        <x:v>SO-26035</x:v>
      </x:c>
      <x:c r="B64" s="75" t="n">
        <x:v>46259</x:v>
      </x:c>
      <x:c r="C64" s="71" t="str">
        <x:v>High</x:v>
      </x:c>
      <x:c r="D64" s="71" t="str">
        <x:v>FG-014</x:v>
      </x:c>
      <x:c r="E64" s="71" t="str">
        <x:v>RM-069</x:v>
      </x:c>
      <x:c r="F64" s="71" t="str">
        <x:v>Additive 069</x:v>
      </x:c>
      <x:c r="G64" s="76" t="n">
        <x:v>30</x:v>
      </x:c>
      <x:c r="H64" s="76" t="n">
        <x:v>37.77</x:v>
      </x:c>
      <x:c r="I64" s="76" t="n">
        <x:f>G64*H64</x:f>
        <x:v>1133.1000000000001</x:v>
      </x:c>
      <x:c r="J64" s="76" t="n">
        <x:f>IFERROR(INDEX('Inventory'!$E$2:$E$71,MATCH(E64,'Inventory'!$A$2:$A$71,0)),0)</x:f>
        <x:v>2870</x:v>
      </x:c>
      <x:c r="K64" s="76" t="n">
        <x:f>IFERROR(INDEX('Inventory'!$F$2:$F$71,MATCH(E64,'Inventory'!$A$2:$A$71,0)),0)</x:f>
        <x:v>986</x:v>
      </x:c>
      <x:c r="L64" s="76" t="n">
        <x:f>SUMIFS('Open_POs'!$D$2:$D$26,'Open_POs'!$B$2:$B$26,E64,'Open_POs'!$E$2:$E$26,"&lt;="&amp;B64)</x:f>
        <x:v>0</x:v>
      </x:c>
      <x:c r="M64" s="76" t="n">
        <x:f>J64+L64</x:f>
        <x:v>2870</x:v>
      </x:c>
      <x:c r="N64" s="76" t="n">
        <x:f>SUMIFS($I$2:I64,$E$2:E64,E64)</x:f>
        <x:v>1133.1000000000001</x:v>
      </x:c>
      <x:c r="O64" s="76" t="n">
        <x:f>M64-N64</x:f>
        <x:v>1736.8999999999999</x:v>
      </x:c>
      <x:c r="P64" s="71" t="str">
        <x:f>IF(O64&lt;0,"SHORT",IF(O64&lt;K64,"BELOW TARGET","COVERED"))</x:f>
        <x:v>COVERED</x:v>
      </x:c>
      <x:c r="Q64" s="63" t="str">
        <x:f>IF(AND(P64="SHORT",COUNTIFS($E$2:E64,E64,$P$2:P64,"SHORT")=1),B64,"")</x:f>
      </x:c>
    </x:row>
    <x:row r="65" ht="15" customHeight="1">
      <x:c r="A65" s="71" t="str">
        <x:v>SO-26035</x:v>
      </x:c>
      <x:c r="B65" s="75" t="n">
        <x:v>46259</x:v>
      </x:c>
      <x:c r="C65" s="71" t="str">
        <x:v>High</x:v>
      </x:c>
      <x:c r="D65" s="71" t="str">
        <x:v>FG-014</x:v>
      </x:c>
      <x:c r="E65" s="71" t="str">
        <x:v>RM-070</x:v>
      </x:c>
      <x:c r="F65" s="71" t="str">
        <x:v>Packaging 070</x:v>
      </x:c>
      <x:c r="G65" s="76" t="n">
        <x:v>30</x:v>
      </x:c>
      <x:c r="H65" s="76" t="n">
        <x:v>96.1</x:v>
      </x:c>
      <x:c r="I65" s="76" t="n">
        <x:f>G65*H65</x:f>
        <x:v>2883</x:v>
      </x:c>
      <x:c r="J65" s="76" t="n">
        <x:f>IFERROR(INDEX('Inventory'!$E$2:$E$71,MATCH(E65,'Inventory'!$A$2:$A$71,0)),0)</x:f>
        <x:v>5189</x:v>
      </x:c>
      <x:c r="K65" s="76" t="n">
        <x:f>IFERROR(INDEX('Inventory'!$F$2:$F$71,MATCH(E65,'Inventory'!$A$2:$A$71,0)),0)</x:f>
        <x:v>587</x:v>
      </x:c>
      <x:c r="L65" s="76" t="n">
        <x:f>SUMIFS('Open_POs'!$D$2:$D$26,'Open_POs'!$B$2:$B$26,E65,'Open_POs'!$E$2:$E$26,"&lt;="&amp;B65)</x:f>
        <x:v>0</x:v>
      </x:c>
      <x:c r="M65" s="76" t="n">
        <x:f>J65+L65</x:f>
        <x:v>5189</x:v>
      </x:c>
      <x:c r="N65" s="76" t="n">
        <x:f>SUMIFS($I$2:I65,$E$2:E65,E65)</x:f>
        <x:v>2883</x:v>
      </x:c>
      <x:c r="O65" s="76" t="n">
        <x:f>M65-N65</x:f>
        <x:v>2306</x:v>
      </x:c>
      <x:c r="P65" s="71" t="str">
        <x:f>IF(O65&lt;0,"SHORT",IF(O65&lt;K65,"BELOW TARGET","COVERED"))</x:f>
        <x:v>COVERED</x:v>
      </x:c>
      <x:c r="Q65" s="63" t="str">
        <x:f>IF(AND(P65="SHORT",COUNTIFS($E$2:E65,E65,$P$2:P65,"SHORT")=1),B65,"")</x:f>
      </x:c>
    </x:row>
    <x:row r="66" ht="15" customHeight="1">
      <x:c r="A66" s="71" t="str">
        <x:v>SO-26012</x:v>
      </x:c>
      <x:c r="B66" s="75" t="n">
        <x:v>46259</x:v>
      </x:c>
      <x:c r="C66" s="71" t="str">
        <x:v>Normal</x:v>
      </x:c>
      <x:c r="D66" s="71" t="str">
        <x:v>FG-018</x:v>
      </x:c>
      <x:c r="E66" s="71" t="str">
        <x:v>RM-009</x:v>
      </x:c>
      <x:c r="F66" s="71" t="str">
        <x:v>Additive 009</x:v>
      </x:c>
      <x:c r="G66" s="76" t="n">
        <x:v>20</x:v>
      </x:c>
      <x:c r="H66" s="76" t="n">
        <x:v>13.87</x:v>
      </x:c>
      <x:c r="I66" s="76" t="n">
        <x:f>G66*H66</x:f>
        <x:v>277.4</x:v>
      </x:c>
      <x:c r="J66" s="76" t="n">
        <x:f>IFERROR(INDEX('Inventory'!$E$2:$E$71,MATCH(E66,'Inventory'!$A$2:$A$71,0)),0)</x:f>
        <x:v>13813</x:v>
      </x:c>
      <x:c r="K66" s="76" t="n">
        <x:f>IFERROR(INDEX('Inventory'!$F$2:$F$71,MATCH(E66,'Inventory'!$A$2:$A$71,0)),0)</x:f>
        <x:v>1377</x:v>
      </x:c>
      <x:c r="L66" s="76" t="n">
        <x:f>SUMIFS('Open_POs'!$D$2:$D$26,'Open_POs'!$B$2:$B$26,E66,'Open_POs'!$E$2:$E$26,"&lt;="&amp;B66)</x:f>
        <x:v>0</x:v>
      </x:c>
      <x:c r="M66" s="76" t="n">
        <x:f>J66+L66</x:f>
        <x:v>13813</x:v>
      </x:c>
      <x:c r="N66" s="76" t="n">
        <x:f>SUMIFS($I$2:I66,$E$2:E66,E66)</x:f>
        <x:v>8643.4</x:v>
      </x:c>
      <x:c r="O66" s="76" t="n">
        <x:f>M66-N66</x:f>
        <x:v>5169.6</x:v>
      </x:c>
      <x:c r="P66" s="71" t="str">
        <x:f>IF(O66&lt;0,"SHORT",IF(O66&lt;K66,"BELOW TARGET","COVERED"))</x:f>
        <x:v>COVERED</x:v>
      </x:c>
      <x:c r="Q66" s="63" t="str">
        <x:f>IF(AND(P66="SHORT",COUNTIFS($E$2:E66,E66,$P$2:P66,"SHORT")=1),B66,"")</x:f>
      </x:c>
    </x:row>
    <x:row r="67" ht="15" customHeight="1">
      <x:c r="A67" s="71" t="str">
        <x:v>SO-26012</x:v>
      </x:c>
      <x:c r="B67" s="75" t="n">
        <x:v>46259</x:v>
      </x:c>
      <x:c r="C67" s="71" t="str">
        <x:v>Normal</x:v>
      </x:c>
      <x:c r="D67" s="71" t="str">
        <x:v>FG-018</x:v>
      </x:c>
      <x:c r="E67" s="71" t="str">
        <x:v>RM-015</x:v>
      </x:c>
      <x:c r="F67" s="71" t="str">
        <x:v>Packaging 015</x:v>
      </x:c>
      <x:c r="G67" s="76" t="n">
        <x:v>20</x:v>
      </x:c>
      <x:c r="H67" s="76" t="n">
        <x:v>70.16</x:v>
      </x:c>
      <x:c r="I67" s="76" t="n">
        <x:f>G67*H67</x:f>
        <x:v>1403.1999999999998</x:v>
      </x:c>
      <x:c r="J67" s="76" t="n">
        <x:f>IFERROR(INDEX('Inventory'!$E$2:$E$71,MATCH(E67,'Inventory'!$A$2:$A$71,0)),0)</x:f>
        <x:v>8914</x:v>
      </x:c>
      <x:c r="K67" s="76" t="n">
        <x:f>IFERROR(INDEX('Inventory'!$F$2:$F$71,MATCH(E67,'Inventory'!$A$2:$A$71,0)),0)</x:f>
        <x:v>1380</x:v>
      </x:c>
      <x:c r="L67" s="76" t="n">
        <x:f>SUMIFS('Open_POs'!$D$2:$D$26,'Open_POs'!$B$2:$B$26,E67,'Open_POs'!$E$2:$E$26,"&lt;="&amp;B67)</x:f>
        <x:v>0</x:v>
      </x:c>
      <x:c r="M67" s="76" t="n">
        <x:f>J67+L67</x:f>
        <x:v>8914</x:v>
      </x:c>
      <x:c r="N67" s="76" t="n">
        <x:f>SUMIFS($I$2:I67,$E$2:E67,E67)</x:f>
        <x:v>8419.2</x:v>
      </x:c>
      <x:c r="O67" s="76" t="n">
        <x:f>M67-N67</x:f>
        <x:v>494.7999999999993</x:v>
      </x:c>
      <x:c r="P67" s="71" t="str">
        <x:f>IF(O67&lt;0,"SHORT",IF(O67&lt;K67,"BELOW TARGET","COVERED"))</x:f>
        <x:v>BELOW TARGET</x:v>
      </x:c>
      <x:c r="Q67" s="63" t="str">
        <x:f>IF(AND(P67="SHORT",COUNTIFS($E$2:E67,E67,$P$2:P67,"SHORT")=1),B67,"")</x:f>
      </x:c>
    </x:row>
    <x:row r="68" ht="15" customHeight="1">
      <x:c r="A68" s="71" t="str">
        <x:v>SO-26012</x:v>
      </x:c>
      <x:c r="B68" s="75" t="n">
        <x:v>46259</x:v>
      </x:c>
      <x:c r="C68" s="71" t="str">
        <x:v>Normal</x:v>
      </x:c>
      <x:c r="D68" s="71" t="str">
        <x:v>FG-018</x:v>
      </x:c>
      <x:c r="E68" s="71" t="str">
        <x:v>RM-024</x:v>
      </x:c>
      <x:c r="F68" s="71" t="str">
        <x:v>Additive 024</x:v>
      </x:c>
      <x:c r="G68" s="76" t="n">
        <x:v>20</x:v>
      </x:c>
      <x:c r="H68" s="76" t="n">
        <x:v>44.72</x:v>
      </x:c>
      <x:c r="I68" s="76" t="n">
        <x:f>G68*H68</x:f>
        <x:v>894.4</x:v>
      </x:c>
      <x:c r="J68" s="76" t="n">
        <x:f>IFERROR(INDEX('Inventory'!$E$2:$E$71,MATCH(E68,'Inventory'!$A$2:$A$71,0)),0)</x:f>
        <x:v>542</x:v>
      </x:c>
      <x:c r="K68" s="76" t="n">
        <x:f>IFERROR(INDEX('Inventory'!$F$2:$F$71,MATCH(E68,'Inventory'!$A$2:$A$71,0)),0)</x:f>
        <x:v>1356</x:v>
      </x:c>
      <x:c r="L68" s="76" t="n">
        <x:f>SUMIFS('Open_POs'!$D$2:$D$26,'Open_POs'!$B$2:$B$26,E68,'Open_POs'!$E$2:$E$26,"&lt;="&amp;B68)</x:f>
        <x:v>0</x:v>
      </x:c>
      <x:c r="M68" s="76" t="n">
        <x:f>J68+L68</x:f>
        <x:v>542</x:v>
      </x:c>
      <x:c r="N68" s="76" t="n">
        <x:f>SUMIFS($I$2:I68,$E$2:E68,E68)</x:f>
        <x:v>5366.4</x:v>
      </x:c>
      <x:c r="O68" s="76" t="n">
        <x:f>M68-N68</x:f>
        <x:v>-4824.4</x:v>
      </x:c>
      <x:c r="P68" s="71" t="str">
        <x:f>IF(O68&lt;0,"SHORT",IF(O68&lt;K68,"BELOW TARGET","COVERED"))</x:f>
        <x:v>SHORT</x:v>
      </x:c>
      <x:c r="Q68" s="63" t="str">
        <x:f>IF(AND(P68="SHORT",COUNTIFS($E$2:E68,E68,$P$2:P68,"SHORT")=1),B68,"")</x:f>
      </x:c>
    </x:row>
    <x:row r="69" ht="15" customHeight="1">
      <x:c r="A69" s="71" t="str">
        <x:v>SO-26012</x:v>
      </x:c>
      <x:c r="B69" s="75" t="n">
        <x:v>46259</x:v>
      </x:c>
      <x:c r="C69" s="71" t="str">
        <x:v>Normal</x:v>
      </x:c>
      <x:c r="D69" s="71" t="str">
        <x:v>FG-018</x:v>
      </x:c>
      <x:c r="E69" s="71" t="str">
        <x:v>RM-025</x:v>
      </x:c>
      <x:c r="F69" s="71" t="str">
        <x:v>Packaging 025</x:v>
      </x:c>
      <x:c r="G69" s="76" t="n">
        <x:v>20</x:v>
      </x:c>
      <x:c r="H69" s="76" t="n">
        <x:v>67.62</x:v>
      </x:c>
      <x:c r="I69" s="76" t="n">
        <x:f>G69*H69</x:f>
        <x:v>1352.4</x:v>
      </x:c>
      <x:c r="J69" s="76" t="n">
        <x:f>IFERROR(INDEX('Inventory'!$E$2:$E$71,MATCH(E69,'Inventory'!$A$2:$A$71,0)),0)</x:f>
        <x:v>2469</x:v>
      </x:c>
      <x:c r="K69" s="76" t="n">
        <x:f>IFERROR(INDEX('Inventory'!$F$2:$F$71,MATCH(E69,'Inventory'!$A$2:$A$71,0)),0)</x:f>
        <x:v>229</x:v>
      </x:c>
      <x:c r="L69" s="76" t="n">
        <x:f>SUMIFS('Open_POs'!$D$2:$D$26,'Open_POs'!$B$2:$B$26,E69,'Open_POs'!$E$2:$E$26,"&lt;="&amp;B69)</x:f>
        <x:v>0</x:v>
      </x:c>
      <x:c r="M69" s="76" t="n">
        <x:f>J69+L69</x:f>
        <x:v>2469</x:v>
      </x:c>
      <x:c r="N69" s="76" t="n">
        <x:f>SUMIFS($I$2:I69,$E$2:E69,E69)</x:f>
        <x:v>14647.199999999999</x:v>
      </x:c>
      <x:c r="O69" s="76" t="n">
        <x:f>M69-N69</x:f>
        <x:v>-12178.199999999999</x:v>
      </x:c>
      <x:c r="P69" s="71" t="str">
        <x:f>IF(O69&lt;0,"SHORT",IF(O69&lt;K69,"BELOW TARGET","COVERED"))</x:f>
        <x:v>SHORT</x:v>
      </x:c>
      <x:c r="Q69" s="63" t="str">
        <x:f>IF(AND(P69="SHORT",COUNTIFS($E$2:E69,E69,$P$2:P69,"SHORT")=1),B69,"")</x:f>
      </x:c>
    </x:row>
    <x:row r="70" ht="15" customHeight="1">
      <x:c r="A70" s="71" t="str">
        <x:v>SO-26012</x:v>
      </x:c>
      <x:c r="B70" s="75" t="n">
        <x:v>46259</x:v>
      </x:c>
      <x:c r="C70" s="71" t="str">
        <x:v>Normal</x:v>
      </x:c>
      <x:c r="D70" s="71" t="str">
        <x:v>FG-018</x:v>
      </x:c>
      <x:c r="E70" s="71" t="str">
        <x:v>RM-032</x:v>
      </x:c>
      <x:c r="F70" s="71" t="str">
        <x:v>Pigment 032</x:v>
      </x:c>
      <x:c r="G70" s="76" t="n">
        <x:v>20</x:v>
      </x:c>
      <x:c r="H70" s="76" t="n">
        <x:v>50.14</x:v>
      </x:c>
      <x:c r="I70" s="76" t="n">
        <x:f>G70*H70</x:f>
        <x:v>1002.8</x:v>
      </x:c>
      <x:c r="J70" s="76" t="n">
        <x:f>IFERROR(INDEX('Inventory'!$E$2:$E$71,MATCH(E70,'Inventory'!$A$2:$A$71,0)),0)</x:f>
        <x:v>674</x:v>
      </x:c>
      <x:c r="K70" s="76" t="n">
        <x:f>IFERROR(INDEX('Inventory'!$F$2:$F$71,MATCH(E70,'Inventory'!$A$2:$A$71,0)),0)</x:f>
        <x:v>1056</x:v>
      </x:c>
      <x:c r="L70" s="76" t="n">
        <x:f>SUMIFS('Open_POs'!$D$2:$D$26,'Open_POs'!$B$2:$B$26,E70,'Open_POs'!$E$2:$E$26,"&lt;="&amp;B70)</x:f>
        <x:v>0</x:v>
      </x:c>
      <x:c r="M70" s="76" t="n">
        <x:f>J70+L70</x:f>
        <x:v>674</x:v>
      </x:c>
      <x:c r="N70" s="76" t="n">
        <x:f>SUMIFS($I$2:I70,$E$2:E70,E70)</x:f>
        <x:v>11680</x:v>
      </x:c>
      <x:c r="O70" s="76" t="n">
        <x:f>M70-N70</x:f>
        <x:v>-11006</x:v>
      </x:c>
      <x:c r="P70" s="71" t="str">
        <x:f>IF(O70&lt;0,"SHORT",IF(O70&lt;K70,"BELOW TARGET","COVERED"))</x:f>
        <x:v>SHORT</x:v>
      </x:c>
      <x:c r="Q70" s="63" t="str">
        <x:f>IF(AND(P70="SHORT",COUNTIFS($E$2:E70,E70,$P$2:P70,"SHORT")=1),B70,"")</x:f>
      </x:c>
    </x:row>
    <x:row r="71" ht="15" customHeight="1">
      <x:c r="A71" s="71" t="str">
        <x:v>SO-26012</x:v>
      </x:c>
      <x:c r="B71" s="75" t="n">
        <x:v>46259</x:v>
      </x:c>
      <x:c r="C71" s="71" t="str">
        <x:v>Normal</x:v>
      </x:c>
      <x:c r="D71" s="71" t="str">
        <x:v>FG-018</x:v>
      </x:c>
      <x:c r="E71" s="71" t="str">
        <x:v>RM-034</x:v>
      </x:c>
      <x:c r="F71" s="71" t="str">
        <x:v>Additive 034</x:v>
      </x:c>
      <x:c r="G71" s="76" t="n">
        <x:v>20</x:v>
      </x:c>
      <x:c r="H71" s="76" t="n">
        <x:v>69.42</x:v>
      </x:c>
      <x:c r="I71" s="76" t="n">
        <x:f>G71*H71</x:f>
        <x:v>1388.4</x:v>
      </x:c>
      <x:c r="J71" s="76" t="n">
        <x:f>IFERROR(INDEX('Inventory'!$E$2:$E$71,MATCH(E71,'Inventory'!$A$2:$A$71,0)),0)</x:f>
        <x:v>1971</x:v>
      </x:c>
      <x:c r="K71" s="76" t="n">
        <x:f>IFERROR(INDEX('Inventory'!$F$2:$F$71,MATCH(E71,'Inventory'!$A$2:$A$71,0)),0)</x:f>
        <x:v>1061</x:v>
      </x:c>
      <x:c r="L71" s="76" t="n">
        <x:f>SUMIFS('Open_POs'!$D$2:$D$26,'Open_POs'!$B$2:$B$26,E71,'Open_POs'!$E$2:$E$26,"&lt;="&amp;B71)</x:f>
        <x:v>0</x:v>
      </x:c>
      <x:c r="M71" s="76" t="n">
        <x:f>J71+L71</x:f>
        <x:v>1971</x:v>
      </x:c>
      <x:c r="N71" s="76" t="n">
        <x:f>SUMIFS($I$2:I71,$E$2:E71,E71)</x:f>
        <x:v>16441.4</x:v>
      </x:c>
      <x:c r="O71" s="76" t="n">
        <x:f>M71-N71</x:f>
        <x:v>-14470.400000000001</x:v>
      </x:c>
      <x:c r="P71" s="71" t="str">
        <x:f>IF(O71&lt;0,"SHORT",IF(O71&lt;K71,"BELOW TARGET","COVERED"))</x:f>
        <x:v>SHORT</x:v>
      </x:c>
      <x:c r="Q71" s="63" t="str">
        <x:f>IF(AND(P71="SHORT",COUNTIFS($E$2:E71,E71,$P$2:P71,"SHORT")=1),B71,"")</x:f>
      </x:c>
    </x:row>
    <x:row r="72" ht="15" customHeight="1">
      <x:c r="A72" s="71" t="str">
        <x:v>SO-26012</x:v>
      </x:c>
      <x:c r="B72" s="75" t="n">
        <x:v>46259</x:v>
      </x:c>
      <x:c r="C72" s="71" t="str">
        <x:v>Normal</x:v>
      </x:c>
      <x:c r="D72" s="71" t="str">
        <x:v>FG-018</x:v>
      </x:c>
      <x:c r="E72" s="71" t="str">
        <x:v>RM-038</x:v>
      </x:c>
      <x:c r="F72" s="71" t="str">
        <x:v>Filler 038</x:v>
      </x:c>
      <x:c r="G72" s="76" t="n">
        <x:v>20</x:v>
      </x:c>
      <x:c r="H72" s="76" t="n">
        <x:v>40.52</x:v>
      </x:c>
      <x:c r="I72" s="76" t="n">
        <x:f>G72*H72</x:f>
        <x:v>810.4000000000001</x:v>
      </x:c>
      <x:c r="J72" s="76" t="n">
        <x:f>IFERROR(INDEX('Inventory'!$E$2:$E$71,MATCH(E72,'Inventory'!$A$2:$A$71,0)),0)</x:f>
        <x:v>10042</x:v>
      </x:c>
      <x:c r="K72" s="76" t="n">
        <x:f>IFERROR(INDEX('Inventory'!$F$2:$F$71,MATCH(E72,'Inventory'!$A$2:$A$71,0)),0)</x:f>
        <x:v>1452</x:v>
      </x:c>
      <x:c r="L72" s="76" t="n">
        <x:f>SUMIFS('Open_POs'!$D$2:$D$26,'Open_POs'!$B$2:$B$26,E72,'Open_POs'!$E$2:$E$26,"&lt;="&amp;B72)</x:f>
        <x:v>0</x:v>
      </x:c>
      <x:c r="M72" s="76" t="n">
        <x:f>J72+L72</x:f>
        <x:v>10042</x:v>
      </x:c>
      <x:c r="N72" s="76" t="n">
        <x:f>SUMIFS($I$2:I72,$E$2:E72,E72)</x:f>
        <x:v>7379.4</x:v>
      </x:c>
      <x:c r="O72" s="76" t="n">
        <x:f>M72-N72</x:f>
        <x:v>2662.6000000000004</x:v>
      </x:c>
      <x:c r="P72" s="71" t="str">
        <x:f>IF(O72&lt;0,"SHORT",IF(O72&lt;K72,"BELOW TARGET","COVERED"))</x:f>
        <x:v>COVERED</x:v>
      </x:c>
      <x:c r="Q72" s="63" t="str">
        <x:f>IF(AND(P72="SHORT",COUNTIFS($E$2:E72,E72,$P$2:P72,"SHORT")=1),B72,"")</x:f>
      </x:c>
    </x:row>
    <x:row r="73" ht="15" customHeight="1">
      <x:c r="A73" s="71" t="str">
        <x:v>SO-26012</x:v>
      </x:c>
      <x:c r="B73" s="75" t="n">
        <x:v>46259</x:v>
      </x:c>
      <x:c r="C73" s="71" t="str">
        <x:v>Normal</x:v>
      </x:c>
      <x:c r="D73" s="71" t="str">
        <x:v>FG-018</x:v>
      </x:c>
      <x:c r="E73" s="71" t="str">
        <x:v>RM-067</x:v>
      </x:c>
      <x:c r="F73" s="71" t="str">
        <x:v>Pigment 067</x:v>
      </x:c>
      <x:c r="G73" s="76" t="n">
        <x:v>20</x:v>
      </x:c>
      <x:c r="H73" s="76" t="n">
        <x:v>26.57</x:v>
      </x:c>
      <x:c r="I73" s="76" t="n">
        <x:f>G73*H73</x:f>
        <x:v>531.4</x:v>
      </x:c>
      <x:c r="J73" s="76" t="n">
        <x:f>IFERROR(INDEX('Inventory'!$E$2:$E$71,MATCH(E73,'Inventory'!$A$2:$A$71,0)),0)</x:f>
        <x:v>10786</x:v>
      </x:c>
      <x:c r="K73" s="76" t="n">
        <x:f>IFERROR(INDEX('Inventory'!$F$2:$F$71,MATCH(E73,'Inventory'!$A$2:$A$71,0)),0)</x:f>
        <x:v>335</x:v>
      </x:c>
      <x:c r="L73" s="76" t="n">
        <x:f>SUMIFS('Open_POs'!$D$2:$D$26,'Open_POs'!$B$2:$B$26,E73,'Open_POs'!$E$2:$E$26,"&lt;="&amp;B73)</x:f>
        <x:v>0</x:v>
      </x:c>
      <x:c r="M73" s="76" t="n">
        <x:f>J73+L73</x:f>
        <x:v>10786</x:v>
      </x:c>
      <x:c r="N73" s="76" t="n">
        <x:f>SUMIFS($I$2:I73,$E$2:E73,E73)</x:f>
        <x:v>3188.4</x:v>
      </x:c>
      <x:c r="O73" s="76" t="n">
        <x:f>M73-N73</x:f>
        <x:v>7597.6</x:v>
      </x:c>
      <x:c r="P73" s="71" t="str">
        <x:f>IF(O73&lt;0,"SHORT",IF(O73&lt;K73,"BELOW TARGET","COVERED"))</x:f>
        <x:v>COVERED</x:v>
      </x:c>
      <x:c r="Q73" s="63" t="str">
        <x:f>IF(AND(P73="SHORT",COUNTIFS($E$2:E73,E73,$P$2:P73,"SHORT")=1),B73,"")</x:f>
      </x:c>
    </x:row>
    <x:row r="74" ht="15" customHeight="1">
      <x:c r="A74" s="71" t="str">
        <x:v>SO-26089</x:v>
      </x:c>
      <x:c r="B74" s="75" t="n">
        <x:v>46261</x:v>
      </x:c>
      <x:c r="C74" s="71" t="str">
        <x:v>High</x:v>
      </x:c>
      <x:c r="D74" s="71" t="str">
        <x:v>FG-020</x:v>
      </x:c>
      <x:c r="E74" s="71" t="str">
        <x:v>RM-004</x:v>
      </x:c>
      <x:c r="F74" s="71" t="str">
        <x:v>Additive 004</x:v>
      </x:c>
      <x:c r="G74" s="76" t="n">
        <x:v>40</x:v>
      </x:c>
      <x:c r="H74" s="76" t="n">
        <x:v>145.99</x:v>
      </x:c>
      <x:c r="I74" s="76" t="n">
        <x:f>G74*H74</x:f>
        <x:v>5839.6</x:v>
      </x:c>
      <x:c r="J74" s="76" t="n">
        <x:f>IFERROR(INDEX('Inventory'!$E$2:$E$71,MATCH(E74,'Inventory'!$A$2:$A$71,0)),0)</x:f>
        <x:v>11262</x:v>
      </x:c>
      <x:c r="K74" s="76" t="n">
        <x:f>IFERROR(INDEX('Inventory'!$F$2:$F$71,MATCH(E74,'Inventory'!$A$2:$A$71,0)),0)</x:f>
        <x:v>1178</x:v>
      </x:c>
      <x:c r="L74" s="76" t="n">
        <x:f>SUMIFS('Open_POs'!$D$2:$D$26,'Open_POs'!$B$2:$B$26,E74,'Open_POs'!$E$2:$E$26,"&lt;="&amp;B74)</x:f>
        <x:v>0</x:v>
      </x:c>
      <x:c r="M74" s="76" t="n">
        <x:f>J74+L74</x:f>
        <x:v>11262</x:v>
      </x:c>
      <x:c r="N74" s="76" t="n">
        <x:f>SUMIFS($I$2:I74,$E$2:E74,E74)</x:f>
        <x:v>5839.6</x:v>
      </x:c>
      <x:c r="O74" s="76" t="n">
        <x:f>M74-N74</x:f>
        <x:v>5422.4</x:v>
      </x:c>
      <x:c r="P74" s="71" t="str">
        <x:f>IF(O74&lt;0,"SHORT",IF(O74&lt;K74,"BELOW TARGET","COVERED"))</x:f>
        <x:v>COVERED</x:v>
      </x:c>
      <x:c r="Q74" s="63" t="str">
        <x:f>IF(AND(P74="SHORT",COUNTIFS($E$2:E74,E74,$P$2:P74,"SHORT")=1),B74,"")</x:f>
      </x:c>
    </x:row>
    <x:row r="75" ht="15" customHeight="1">
      <x:c r="A75" s="71" t="str">
        <x:v>SO-26089</x:v>
      </x:c>
      <x:c r="B75" s="75" t="n">
        <x:v>46261</x:v>
      </x:c>
      <x:c r="C75" s="71" t="str">
        <x:v>High</x:v>
      </x:c>
      <x:c r="D75" s="71" t="str">
        <x:v>FG-020</x:v>
      </x:c>
      <x:c r="E75" s="71" t="str">
        <x:v>RM-011</x:v>
      </x:c>
      <x:c r="F75" s="71" t="str">
        <x:v>Resin 011</x:v>
      </x:c>
      <x:c r="G75" s="76" t="n">
        <x:v>40</x:v>
      </x:c>
      <x:c r="H75" s="76" t="n">
        <x:v>90.45</x:v>
      </x:c>
      <x:c r="I75" s="76" t="n">
        <x:f>G75*H75</x:f>
        <x:v>3618</x:v>
      </x:c>
      <x:c r="J75" s="76" t="n">
        <x:f>IFERROR(INDEX('Inventory'!$E$2:$E$71,MATCH(E75,'Inventory'!$A$2:$A$71,0)),0)</x:f>
        <x:v>16410</x:v>
      </x:c>
      <x:c r="K75" s="76" t="n">
        <x:f>IFERROR(INDEX('Inventory'!$F$2:$F$71,MATCH(E75,'Inventory'!$A$2:$A$71,0)),0)</x:f>
        <x:v>1275</x:v>
      </x:c>
      <x:c r="L75" s="76" t="n">
        <x:f>SUMIFS('Open_POs'!$D$2:$D$26,'Open_POs'!$B$2:$B$26,E75,'Open_POs'!$E$2:$E$26,"&lt;="&amp;B75)</x:f>
        <x:v>0</x:v>
      </x:c>
      <x:c r="M75" s="76" t="n">
        <x:f>J75+L75</x:f>
        <x:v>16410</x:v>
      </x:c>
      <x:c r="N75" s="76" t="n">
        <x:f>SUMIFS($I$2:I75,$E$2:E75,E75)</x:f>
        <x:v>9514.2</x:v>
      </x:c>
      <x:c r="O75" s="76" t="n">
        <x:f>M75-N75</x:f>
        <x:v>6895.799999999999</x:v>
      </x:c>
      <x:c r="P75" s="71" t="str">
        <x:f>IF(O75&lt;0,"SHORT",IF(O75&lt;K75,"BELOW TARGET","COVERED"))</x:f>
        <x:v>COVERED</x:v>
      </x:c>
      <x:c r="Q75" s="63" t="str">
        <x:f>IF(AND(P75="SHORT",COUNTIFS($E$2:E75,E75,$P$2:P75,"SHORT")=1),B75,"")</x:f>
      </x:c>
    </x:row>
    <x:row r="76" ht="15" customHeight="1">
      <x:c r="A76" s="71" t="str">
        <x:v>SO-26089</x:v>
      </x:c>
      <x:c r="B76" s="75" t="n">
        <x:v>46261</x:v>
      </x:c>
      <x:c r="C76" s="71" t="str">
        <x:v>High</x:v>
      </x:c>
      <x:c r="D76" s="71" t="str">
        <x:v>FG-020</x:v>
      </x:c>
      <x:c r="E76" s="71" t="str">
        <x:v>RM-026</x:v>
      </x:c>
      <x:c r="F76" s="71" t="str">
        <x:v>Resin 026</x:v>
      </x:c>
      <x:c r="G76" s="76" t="n">
        <x:v>40</x:v>
      </x:c>
      <x:c r="H76" s="76" t="n">
        <x:v>115.53</x:v>
      </x:c>
      <x:c r="I76" s="76" t="n">
        <x:f>G76*H76</x:f>
        <x:v>4621.2</x:v>
      </x:c>
      <x:c r="J76" s="76" t="n">
        <x:f>IFERROR(INDEX('Inventory'!$E$2:$E$71,MATCH(E76,'Inventory'!$A$2:$A$71,0)),0)</x:f>
        <x:v>1771</x:v>
      </x:c>
      <x:c r="K76" s="76" t="n">
        <x:f>IFERROR(INDEX('Inventory'!$F$2:$F$71,MATCH(E76,'Inventory'!$A$2:$A$71,0)),0)</x:f>
        <x:v>1475</x:v>
      </x:c>
      <x:c r="L76" s="76" t="n">
        <x:f>SUMIFS('Open_POs'!$D$2:$D$26,'Open_POs'!$B$2:$B$26,E76,'Open_POs'!$E$2:$E$26,"&lt;="&amp;B76)</x:f>
        <x:v>0</x:v>
      </x:c>
      <x:c r="M76" s="76" t="n">
        <x:f>J76+L76</x:f>
        <x:v>1771</x:v>
      </x:c>
      <x:c r="N76" s="76" t="n">
        <x:f>SUMIFS($I$2:I76,$E$2:E76,E76)</x:f>
        <x:v>4621.2</x:v>
      </x:c>
      <x:c r="O76" s="76" t="n">
        <x:f>M76-N76</x:f>
        <x:v>-2850.2</x:v>
      </x:c>
      <x:c r="P76" s="71" t="str">
        <x:f>IF(O76&lt;0,"SHORT",IF(O76&lt;K76,"BELOW TARGET","COVERED"))</x:f>
        <x:v>SHORT</x:v>
      </x:c>
      <x:c r="Q76" s="63" t="n">
        <x:f>IF(AND(P76="SHORT",COUNTIFS($E$2:E76,E76,$P$2:P76,"SHORT")=1),B76,"")</x:f>
        <x:v>46261</x:v>
      </x:c>
    </x:row>
    <x:row r="77" ht="15" customHeight="1">
      <x:c r="A77" s="71" t="str">
        <x:v>SO-26089</x:v>
      </x:c>
      <x:c r="B77" s="75" t="n">
        <x:v>46261</x:v>
      </x:c>
      <x:c r="C77" s="71" t="str">
        <x:v>High</x:v>
      </x:c>
      <x:c r="D77" s="71" t="str">
        <x:v>FG-020</x:v>
      </x:c>
      <x:c r="E77" s="71" t="str">
        <x:v>RM-048</x:v>
      </x:c>
      <x:c r="F77" s="71" t="str">
        <x:v>Filler 048</x:v>
      </x:c>
      <x:c r="G77" s="76" t="n">
        <x:v>40</x:v>
      </x:c>
      <x:c r="H77" s="76" t="n">
        <x:v>116.85</x:v>
      </x:c>
      <x:c r="I77" s="76" t="n">
        <x:f>G77*H77</x:f>
        <x:v>4674</x:v>
      </x:c>
      <x:c r="J77" s="76" t="n">
        <x:f>IFERROR(INDEX('Inventory'!$E$2:$E$71,MATCH(E77,'Inventory'!$A$2:$A$71,0)),0)</x:f>
        <x:v>637</x:v>
      </x:c>
      <x:c r="K77" s="76" t="n">
        <x:f>IFERROR(INDEX('Inventory'!$F$2:$F$71,MATCH(E77,'Inventory'!$A$2:$A$71,0)),0)</x:f>
        <x:v>888</x:v>
      </x:c>
      <x:c r="L77" s="76" t="n">
        <x:f>SUMIFS('Open_POs'!$D$2:$D$26,'Open_POs'!$B$2:$B$26,E77,'Open_POs'!$E$2:$E$26,"&lt;="&amp;B77)</x:f>
        <x:v>0</x:v>
      </x:c>
      <x:c r="M77" s="76" t="n">
        <x:f>J77+L77</x:f>
        <x:v>637</x:v>
      </x:c>
      <x:c r="N77" s="76" t="n">
        <x:f>SUMIFS($I$2:I77,$E$2:E77,E77)</x:f>
        <x:v>6749.5</x:v>
      </x:c>
      <x:c r="O77" s="76" t="n">
        <x:f>M77-N77</x:f>
        <x:v>-6112.5</x:v>
      </x:c>
      <x:c r="P77" s="71" t="str">
        <x:f>IF(O77&lt;0,"SHORT",IF(O77&lt;K77,"BELOW TARGET","COVERED"))</x:f>
        <x:v>SHORT</x:v>
      </x:c>
      <x:c r="Q77" s="63" t="str">
        <x:f>IF(AND(P77="SHORT",COUNTIFS($E$2:E77,E77,$P$2:P77,"SHORT")=1),B77,"")</x:f>
      </x:c>
    </x:row>
    <x:row r="78" ht="15" customHeight="1">
      <x:c r="A78" s="71" t="str">
        <x:v>SO-26089</x:v>
      </x:c>
      <x:c r="B78" s="75" t="n">
        <x:v>46261</x:v>
      </x:c>
      <x:c r="C78" s="71" t="str">
        <x:v>High</x:v>
      </x:c>
      <x:c r="D78" s="71" t="str">
        <x:v>FG-020</x:v>
      </x:c>
      <x:c r="E78" s="71" t="str">
        <x:v>RM-052</x:v>
      </x:c>
      <x:c r="F78" s="71" t="str">
        <x:v>Pigment 052</x:v>
      </x:c>
      <x:c r="G78" s="76" t="n">
        <x:v>40</x:v>
      </x:c>
      <x:c r="H78" s="76" t="n">
        <x:v>75.34</x:v>
      </x:c>
      <x:c r="I78" s="76" t="n">
        <x:f>G78*H78</x:f>
        <x:v>3013.6000000000004</x:v>
      </x:c>
      <x:c r="J78" s="76" t="n">
        <x:f>IFERROR(INDEX('Inventory'!$E$2:$E$71,MATCH(E78,'Inventory'!$A$2:$A$71,0)),0)</x:f>
        <x:v>6374</x:v>
      </x:c>
      <x:c r="K78" s="76" t="n">
        <x:f>IFERROR(INDEX('Inventory'!$F$2:$F$71,MATCH(E78,'Inventory'!$A$2:$A$71,0)),0)</x:f>
        <x:v>949</x:v>
      </x:c>
      <x:c r="L78" s="76" t="n">
        <x:f>SUMIFS('Open_POs'!$D$2:$D$26,'Open_POs'!$B$2:$B$26,E78,'Open_POs'!$E$2:$E$26,"&lt;="&amp;B78)</x:f>
        <x:v>0</x:v>
      </x:c>
      <x:c r="M78" s="76" t="n">
        <x:f>J78+L78</x:f>
        <x:v>6374</x:v>
      </x:c>
      <x:c r="N78" s="76" t="n">
        <x:f>SUMIFS($I$2:I78,$E$2:E78,E78)</x:f>
        <x:v>8242.6</x:v>
      </x:c>
      <x:c r="O78" s="76" t="n">
        <x:f>M78-N78</x:f>
        <x:v>-1868.6000000000004</x:v>
      </x:c>
      <x:c r="P78" s="71" t="str">
        <x:f>IF(O78&lt;0,"SHORT",IF(O78&lt;K78,"BELOW TARGET","COVERED"))</x:f>
        <x:v>SHORT</x:v>
      </x:c>
      <x:c r="Q78" s="63" t="n">
        <x:f>IF(AND(P78="SHORT",COUNTIFS($E$2:E78,E78,$P$2:P78,"SHORT")=1),B78,"")</x:f>
        <x:v>46261</x:v>
      </x:c>
    </x:row>
    <x:row r="79" ht="15" customHeight="1">
      <x:c r="A79" s="71" t="str">
        <x:v>SO-26089</x:v>
      </x:c>
      <x:c r="B79" s="75" t="n">
        <x:v>46261</x:v>
      </x:c>
      <x:c r="C79" s="71" t="str">
        <x:v>High</x:v>
      </x:c>
      <x:c r="D79" s="71" t="str">
        <x:v>FG-020</x:v>
      </x:c>
      <x:c r="E79" s="71" t="str">
        <x:v>RM-062</x:v>
      </x:c>
      <x:c r="F79" s="71" t="str">
        <x:v>Pigment 062</x:v>
      </x:c>
      <x:c r="G79" s="76" t="n">
        <x:v>40</x:v>
      </x:c>
      <x:c r="H79" s="76" t="n">
        <x:v>18.57</x:v>
      </x:c>
      <x:c r="I79" s="76" t="n">
        <x:f>G79*H79</x:f>
        <x:v>742.8</x:v>
      </x:c>
      <x:c r="J79" s="76" t="n">
        <x:f>IFERROR(INDEX('Inventory'!$E$2:$E$71,MATCH(E79,'Inventory'!$A$2:$A$71,0)),0)</x:f>
        <x:v>7110</x:v>
      </x:c>
      <x:c r="K79" s="76" t="n">
        <x:f>IFERROR(INDEX('Inventory'!$F$2:$F$71,MATCH(E79,'Inventory'!$A$2:$A$71,0)),0)</x:f>
        <x:v>1339</x:v>
      </x:c>
      <x:c r="L79" s="76" t="n">
        <x:f>SUMIFS('Open_POs'!$D$2:$D$26,'Open_POs'!$B$2:$B$26,E79,'Open_POs'!$E$2:$E$26,"&lt;="&amp;B79)</x:f>
        <x:v>0</x:v>
      </x:c>
      <x:c r="M79" s="76" t="n">
        <x:f>J79+L79</x:f>
        <x:v>7110</x:v>
      </x:c>
      <x:c r="N79" s="76" t="n">
        <x:f>SUMIFS($I$2:I79,$E$2:E79,E79)</x:f>
        <x:v>1192.8</x:v>
      </x:c>
      <x:c r="O79" s="76" t="n">
        <x:f>M79-N79</x:f>
        <x:v>5917.2</x:v>
      </x:c>
      <x:c r="P79" s="71" t="str">
        <x:f>IF(O79&lt;0,"SHORT",IF(O79&lt;K79,"BELOW TARGET","COVERED"))</x:f>
        <x:v>COVERED</x:v>
      </x:c>
      <x:c r="Q79" s="63" t="str">
        <x:f>IF(AND(P79="SHORT",COUNTIFS($E$2:E79,E79,$P$2:P79,"SHORT")=1),B79,"")</x:f>
      </x:c>
    </x:row>
    <x:row r="80" ht="15" customHeight="1">
      <x:c r="A80" s="71" t="str">
        <x:v>SO-26059</x:v>
      </x:c>
      <x:c r="B80" s="75" t="n">
        <x:v>46261</x:v>
      </x:c>
      <x:c r="C80" s="71" t="str">
        <x:v>Normal</x:v>
      </x:c>
      <x:c r="D80" s="71" t="str">
        <x:v>FG-001</x:v>
      </x:c>
      <x:c r="E80" s="71" t="str">
        <x:v>RM-008</x:v>
      </x:c>
      <x:c r="F80" s="71" t="str">
        <x:v>Filler 008</x:v>
      </x:c>
      <x:c r="G80" s="76" t="n">
        <x:v>10</x:v>
      </x:c>
      <x:c r="H80" s="76" t="n">
        <x:v>50.81</x:v>
      </x:c>
      <x:c r="I80" s="76" t="n">
        <x:f>G80*H80</x:f>
        <x:v>508.1</x:v>
      </x:c>
      <x:c r="J80" s="76" t="n">
        <x:f>IFERROR(INDEX('Inventory'!$E$2:$E$71,MATCH(E80,'Inventory'!$A$2:$A$71,0)),0)</x:f>
        <x:v>430</x:v>
      </x:c>
      <x:c r="K80" s="76" t="n">
        <x:f>IFERROR(INDEX('Inventory'!$F$2:$F$71,MATCH(E80,'Inventory'!$A$2:$A$71,0)),0)</x:f>
        <x:v>1037</x:v>
      </x:c>
      <x:c r="L80" s="76" t="n">
        <x:f>SUMIFS('Open_POs'!$D$2:$D$26,'Open_POs'!$B$2:$B$26,E80,'Open_POs'!$E$2:$E$26,"&lt;="&amp;B80)</x:f>
        <x:v>0</x:v>
      </x:c>
      <x:c r="M80" s="76" t="n">
        <x:f>J80+L80</x:f>
        <x:v>430</x:v>
      </x:c>
      <x:c r="N80" s="76" t="n">
        <x:f>SUMIFS($I$2:I80,$E$2:E80,E80)</x:f>
        <x:v>1837.5</x:v>
      </x:c>
      <x:c r="O80" s="76" t="n">
        <x:f>M80-N80</x:f>
        <x:v>-1407.5</x:v>
      </x:c>
      <x:c r="P80" s="71" t="str">
        <x:f>IF(O80&lt;0,"SHORT",IF(O80&lt;K80,"BELOW TARGET","COVERED"))</x:f>
        <x:v>SHORT</x:v>
      </x:c>
      <x:c r="Q80" s="63" t="str">
        <x:f>IF(AND(P80="SHORT",COUNTIFS($E$2:E80,E80,$P$2:P80,"SHORT")=1),B80,"")</x:f>
      </x:c>
    </x:row>
    <x:row r="81" ht="15" customHeight="1">
      <x:c r="A81" s="71" t="str">
        <x:v>SO-26059</x:v>
      </x:c>
      <x:c r="B81" s="75" t="n">
        <x:v>46261</x:v>
      </x:c>
      <x:c r="C81" s="71" t="str">
        <x:v>Normal</x:v>
      </x:c>
      <x:c r="D81" s="71" t="str">
        <x:v>FG-001</x:v>
      </x:c>
      <x:c r="E81" s="71" t="str">
        <x:v>RM-025</x:v>
      </x:c>
      <x:c r="F81" s="71" t="str">
        <x:v>Packaging 025</x:v>
      </x:c>
      <x:c r="G81" s="76" t="n">
        <x:v>10</x:v>
      </x:c>
      <x:c r="H81" s="76" t="n">
        <x:v>15.13</x:v>
      </x:c>
      <x:c r="I81" s="76" t="n">
        <x:f>G81*H81</x:f>
        <x:v>151.3</x:v>
      </x:c>
      <x:c r="J81" s="76" t="n">
        <x:f>IFERROR(INDEX('Inventory'!$E$2:$E$71,MATCH(E81,'Inventory'!$A$2:$A$71,0)),0)</x:f>
        <x:v>2469</x:v>
      </x:c>
      <x:c r="K81" s="76" t="n">
        <x:f>IFERROR(INDEX('Inventory'!$F$2:$F$71,MATCH(E81,'Inventory'!$A$2:$A$71,0)),0)</x:f>
        <x:v>229</x:v>
      </x:c>
      <x:c r="L81" s="76" t="n">
        <x:f>SUMIFS('Open_POs'!$D$2:$D$26,'Open_POs'!$B$2:$B$26,E81,'Open_POs'!$E$2:$E$26,"&lt;="&amp;B81)</x:f>
        <x:v>0</x:v>
      </x:c>
      <x:c r="M81" s="76" t="n">
        <x:f>J81+L81</x:f>
        <x:v>2469</x:v>
      </x:c>
      <x:c r="N81" s="76" t="n">
        <x:f>SUMIFS($I$2:I81,$E$2:E81,E81)</x:f>
        <x:v>14798.499999999998</x:v>
      </x:c>
      <x:c r="O81" s="76" t="n">
        <x:f>M81-N81</x:f>
        <x:v>-12329.499999999998</x:v>
      </x:c>
      <x:c r="P81" s="71" t="str">
        <x:f>IF(O81&lt;0,"SHORT",IF(O81&lt;K81,"BELOW TARGET","COVERED"))</x:f>
        <x:v>SHORT</x:v>
      </x:c>
      <x:c r="Q81" s="63" t="str">
        <x:f>IF(AND(P81="SHORT",COUNTIFS($E$2:E81,E81,$P$2:P81,"SHORT")=1),B81,"")</x:f>
      </x:c>
    </x:row>
    <x:row r="82" ht="15" customHeight="1">
      <x:c r="A82" s="71" t="str">
        <x:v>SO-26059</x:v>
      </x:c>
      <x:c r="B82" s="75" t="n">
        <x:v>46261</x:v>
      </x:c>
      <x:c r="C82" s="71" t="str">
        <x:v>Normal</x:v>
      </x:c>
      <x:c r="D82" s="71" t="str">
        <x:v>FG-001</x:v>
      </x:c>
      <x:c r="E82" s="71" t="str">
        <x:v>RM-036</x:v>
      </x:c>
      <x:c r="F82" s="71" t="str">
        <x:v>Resin 036</x:v>
      </x:c>
      <x:c r="G82" s="76" t="n">
        <x:v>10</x:v>
      </x:c>
      <x:c r="H82" s="76" t="n">
        <x:v>37.95</x:v>
      </x:c>
      <x:c r="I82" s="76" t="n">
        <x:f>G82*H82</x:f>
        <x:v>379.5</x:v>
      </x:c>
      <x:c r="J82" s="76" t="n">
        <x:f>IFERROR(INDEX('Inventory'!$E$2:$E$71,MATCH(E82,'Inventory'!$A$2:$A$71,0)),0)</x:f>
        <x:v>12427</x:v>
      </x:c>
      <x:c r="K82" s="76" t="n">
        <x:f>IFERROR(INDEX('Inventory'!$F$2:$F$71,MATCH(E82,'Inventory'!$A$2:$A$71,0)),0)</x:f>
        <x:v>1016</x:v>
      </x:c>
      <x:c r="L82" s="76" t="n">
        <x:f>SUMIFS('Open_POs'!$D$2:$D$26,'Open_POs'!$B$2:$B$26,E82,'Open_POs'!$E$2:$E$26,"&lt;="&amp;B82)</x:f>
        <x:v>1000</x:v>
      </x:c>
      <x:c r="M82" s="76" t="n">
        <x:f>J82+L82</x:f>
        <x:v>13427</x:v>
      </x:c>
      <x:c r="N82" s="76" t="n">
        <x:f>SUMIFS($I$2:I82,$E$2:E82,E82)</x:f>
        <x:v>379.5</x:v>
      </x:c>
      <x:c r="O82" s="76" t="n">
        <x:f>M82-N82</x:f>
        <x:v>13047.5</x:v>
      </x:c>
      <x:c r="P82" s="71" t="str">
        <x:f>IF(O82&lt;0,"SHORT",IF(O82&lt;K82,"BELOW TARGET","COVERED"))</x:f>
        <x:v>COVERED</x:v>
      </x:c>
      <x:c r="Q82" s="63" t="str">
        <x:f>IF(AND(P82="SHORT",COUNTIFS($E$2:E82,E82,$P$2:P82,"SHORT")=1),B82,"")</x:f>
      </x:c>
    </x:row>
    <x:row r="83" ht="15" customHeight="1">
      <x:c r="A83" s="71" t="str">
        <x:v>SO-26059</x:v>
      </x:c>
      <x:c r="B83" s="75" t="n">
        <x:v>46261</x:v>
      </x:c>
      <x:c r="C83" s="71" t="str">
        <x:v>Normal</x:v>
      </x:c>
      <x:c r="D83" s="71" t="str">
        <x:v>FG-001</x:v>
      </x:c>
      <x:c r="E83" s="71" t="str">
        <x:v>RM-048</x:v>
      </x:c>
      <x:c r="F83" s="71" t="str">
        <x:v>Filler 048</x:v>
      </x:c>
      <x:c r="G83" s="76" t="n">
        <x:v>10</x:v>
      </x:c>
      <x:c r="H83" s="76" t="n">
        <x:v>11.19</x:v>
      </x:c>
      <x:c r="I83" s="76" t="n">
        <x:f>G83*H83</x:f>
        <x:v>111.89999999999999</x:v>
      </x:c>
      <x:c r="J83" s="76" t="n">
        <x:f>IFERROR(INDEX('Inventory'!$E$2:$E$71,MATCH(E83,'Inventory'!$A$2:$A$71,0)),0)</x:f>
        <x:v>637</x:v>
      </x:c>
      <x:c r="K83" s="76" t="n">
        <x:f>IFERROR(INDEX('Inventory'!$F$2:$F$71,MATCH(E83,'Inventory'!$A$2:$A$71,0)),0)</x:f>
        <x:v>888</x:v>
      </x:c>
      <x:c r="L83" s="76" t="n">
        <x:f>SUMIFS('Open_POs'!$D$2:$D$26,'Open_POs'!$B$2:$B$26,E83,'Open_POs'!$E$2:$E$26,"&lt;="&amp;B83)</x:f>
        <x:v>0</x:v>
      </x:c>
      <x:c r="M83" s="76" t="n">
        <x:f>J83+L83</x:f>
        <x:v>637</x:v>
      </x:c>
      <x:c r="N83" s="76" t="n">
        <x:f>SUMIFS($I$2:I83,$E$2:E83,E83)</x:f>
        <x:v>6861.4</x:v>
      </x:c>
      <x:c r="O83" s="76" t="n">
        <x:f>M83-N83</x:f>
        <x:v>-6224.4</x:v>
      </x:c>
      <x:c r="P83" s="71" t="str">
        <x:f>IF(O83&lt;0,"SHORT",IF(O83&lt;K83,"BELOW TARGET","COVERED"))</x:f>
        <x:v>SHORT</x:v>
      </x:c>
      <x:c r="Q83" s="63" t="str">
        <x:f>IF(AND(P83="SHORT",COUNTIFS($E$2:E83,E83,$P$2:P83,"SHORT")=1),B83,"")</x:f>
      </x:c>
    </x:row>
    <x:row r="84" ht="15" customHeight="1">
      <x:c r="A84" s="71" t="str">
        <x:v>SO-26059</x:v>
      </x:c>
      <x:c r="B84" s="75" t="n">
        <x:v>46261</x:v>
      </x:c>
      <x:c r="C84" s="71" t="str">
        <x:v>Normal</x:v>
      </x:c>
      <x:c r="D84" s="71" t="str">
        <x:v>FG-001</x:v>
      </x:c>
      <x:c r="E84" s="71" t="str">
        <x:v>RM-066</x:v>
      </x:c>
      <x:c r="F84" s="71" t="str">
        <x:v>Resin 066</x:v>
      </x:c>
      <x:c r="G84" s="76" t="n">
        <x:v>10</x:v>
      </x:c>
      <x:c r="H84" s="76" t="n">
        <x:v>38.59</x:v>
      </x:c>
      <x:c r="I84" s="76" t="n">
        <x:f>G84*H84</x:f>
        <x:v>385.90000000000003</x:v>
      </x:c>
      <x:c r="J84" s="76" t="n">
        <x:f>IFERROR(INDEX('Inventory'!$E$2:$E$71,MATCH(E84,'Inventory'!$A$2:$A$71,0)),0)</x:f>
        <x:v>10876</x:v>
      </x:c>
      <x:c r="K84" s="76" t="n">
        <x:f>IFERROR(INDEX('Inventory'!$F$2:$F$71,MATCH(E84,'Inventory'!$A$2:$A$71,0)),0)</x:f>
        <x:v>567</x:v>
      </x:c>
      <x:c r="L84" s="76" t="n">
        <x:f>SUMIFS('Open_POs'!$D$2:$D$26,'Open_POs'!$B$2:$B$26,E84,'Open_POs'!$E$2:$E$26,"&lt;="&amp;B84)</x:f>
        <x:v>0</x:v>
      </x:c>
      <x:c r="M84" s="76" t="n">
        <x:f>J84+L84</x:f>
        <x:v>10876</x:v>
      </x:c>
      <x:c r="N84" s="76" t="n">
        <x:f>SUMIFS($I$2:I84,$E$2:E84,E84)</x:f>
        <x:v>1111.7</x:v>
      </x:c>
      <x:c r="O84" s="76" t="n">
        <x:f>M84-N84</x:f>
        <x:v>9764.3</x:v>
      </x:c>
      <x:c r="P84" s="71" t="str">
        <x:f>IF(O84&lt;0,"SHORT",IF(O84&lt;K84,"BELOW TARGET","COVERED"))</x:f>
        <x:v>COVERED</x:v>
      </x:c>
      <x:c r="Q84" s="63" t="str">
        <x:f>IF(AND(P84="SHORT",COUNTIFS($E$2:E84,E84,$P$2:P84,"SHORT")=1),B84,"")</x:f>
      </x:c>
    </x:row>
    <x:row r="85" ht="15" customHeight="1">
      <x:c r="A85" s="71" t="str">
        <x:v>SO-26039</x:v>
      </x:c>
      <x:c r="B85" s="75" t="n">
        <x:v>46262</x:v>
      </x:c>
      <x:c r="C85" s="71" t="str">
        <x:v>High</x:v>
      </x:c>
      <x:c r="D85" s="71" t="str">
        <x:v>FG-004</x:v>
      </x:c>
      <x:c r="E85" s="71" t="str">
        <x:v>RM-007</x:v>
      </x:c>
      <x:c r="F85" s="71" t="str">
        <x:v>Pigment 007</x:v>
      </x:c>
      <x:c r="G85" s="76" t="n">
        <x:v>80</x:v>
      </x:c>
      <x:c r="H85" s="76" t="n">
        <x:v>40.66</x:v>
      </x:c>
      <x:c r="I85" s="76" t="n">
        <x:f>G85*H85</x:f>
        <x:v>3252.7999999999997</x:v>
      </x:c>
      <x:c r="J85" s="76" t="n">
        <x:f>IFERROR(INDEX('Inventory'!$E$2:$E$71,MATCH(E85,'Inventory'!$A$2:$A$71,0)),0)</x:f>
        <x:v>9115</x:v>
      </x:c>
      <x:c r="K85" s="76" t="n">
        <x:f>IFERROR(INDEX('Inventory'!$F$2:$F$71,MATCH(E85,'Inventory'!$A$2:$A$71,0)),0)</x:f>
        <x:v>230</x:v>
      </x:c>
      <x:c r="L85" s="76" t="n">
        <x:f>SUMIFS('Open_POs'!$D$2:$D$26,'Open_POs'!$B$2:$B$26,E85,'Open_POs'!$E$2:$E$26,"&lt;="&amp;B85)</x:f>
        <x:v>0</x:v>
      </x:c>
      <x:c r="M85" s="76" t="n">
        <x:f>J85+L85</x:f>
        <x:v>9115</x:v>
      </x:c>
      <x:c r="N85" s="76" t="n">
        <x:f>SUMIFS($I$2:I85,$E$2:E85,E85)</x:f>
        <x:v>6462.799999999999</x:v>
      </x:c>
      <x:c r="O85" s="76" t="n">
        <x:f>M85-N85</x:f>
        <x:v>2652.2000000000007</x:v>
      </x:c>
      <x:c r="P85" s="71" t="str">
        <x:f>IF(O85&lt;0,"SHORT",IF(O85&lt;K85,"BELOW TARGET","COVERED"))</x:f>
        <x:v>COVERED</x:v>
      </x:c>
      <x:c r="Q85" s="63" t="str">
        <x:f>IF(AND(P85="SHORT",COUNTIFS($E$2:E85,E85,$P$2:P85,"SHORT")=1),B85,"")</x:f>
      </x:c>
    </x:row>
    <x:row r="86" ht="15" customHeight="1">
      <x:c r="A86" s="71" t="str">
        <x:v>SO-26039</x:v>
      </x:c>
      <x:c r="B86" s="75" t="n">
        <x:v>46262</x:v>
      </x:c>
      <x:c r="C86" s="71" t="str">
        <x:v>High</x:v>
      </x:c>
      <x:c r="D86" s="71" t="str">
        <x:v>FG-004</x:v>
      </x:c>
      <x:c r="E86" s="71" t="str">
        <x:v>RM-010</x:v>
      </x:c>
      <x:c r="F86" s="71" t="str">
        <x:v>Packaging 010</x:v>
      </x:c>
      <x:c r="G86" s="76" t="n">
        <x:v>80</x:v>
      </x:c>
      <x:c r="H86" s="76" t="n">
        <x:v>41.21</x:v>
      </x:c>
      <x:c r="I86" s="76" t="n">
        <x:f>G86*H86</x:f>
        <x:v>3296.8</x:v>
      </x:c>
      <x:c r="J86" s="76" t="n">
        <x:f>IFERROR(INDEX('Inventory'!$E$2:$E$71,MATCH(E86,'Inventory'!$A$2:$A$71,0)),0)</x:f>
        <x:v>14191</x:v>
      </x:c>
      <x:c r="K86" s="76" t="n">
        <x:f>IFERROR(INDEX('Inventory'!$F$2:$F$71,MATCH(E86,'Inventory'!$A$2:$A$71,0)),0)</x:f>
        <x:v>615</x:v>
      </x:c>
      <x:c r="L86" s="76" t="n">
        <x:f>SUMIFS('Open_POs'!$D$2:$D$26,'Open_POs'!$B$2:$B$26,E86,'Open_POs'!$E$2:$E$26,"&lt;="&amp;B86)</x:f>
        <x:v>0</x:v>
      </x:c>
      <x:c r="M86" s="76" t="n">
        <x:f>J86+L86</x:f>
        <x:v>14191</x:v>
      </x:c>
      <x:c r="N86" s="76" t="n">
        <x:f>SUMIFS($I$2:I86,$E$2:E86,E86)</x:f>
        <x:v>4554.6</x:v>
      </x:c>
      <x:c r="O86" s="76" t="n">
        <x:f>M86-N86</x:f>
        <x:v>9636.4</x:v>
      </x:c>
      <x:c r="P86" s="71" t="str">
        <x:f>IF(O86&lt;0,"SHORT",IF(O86&lt;K86,"BELOW TARGET","COVERED"))</x:f>
        <x:v>COVERED</x:v>
      </x:c>
      <x:c r="Q86" s="63" t="str">
        <x:f>IF(AND(P86="SHORT",COUNTIFS($E$2:E86,E86,$P$2:P86,"SHORT")=1),B86,"")</x:f>
      </x:c>
    </x:row>
    <x:row r="87" ht="15" customHeight="1">
      <x:c r="A87" s="71" t="str">
        <x:v>SO-26039</x:v>
      </x:c>
      <x:c r="B87" s="75" t="n">
        <x:v>46262</x:v>
      </x:c>
      <x:c r="C87" s="71" t="str">
        <x:v>High</x:v>
      </x:c>
      <x:c r="D87" s="71" t="str">
        <x:v>FG-004</x:v>
      </x:c>
      <x:c r="E87" s="71" t="str">
        <x:v>RM-013</x:v>
      </x:c>
      <x:c r="F87" s="71" t="str">
        <x:v>Filler 013</x:v>
      </x:c>
      <x:c r="G87" s="76" t="n">
        <x:v>80</x:v>
      </x:c>
      <x:c r="H87" s="76" t="n">
        <x:v>36.5</x:v>
      </x:c>
      <x:c r="I87" s="76" t="n">
        <x:f>G87*H87</x:f>
        <x:v>2920</x:v>
      </x:c>
      <x:c r="J87" s="76" t="n">
        <x:f>IFERROR(INDEX('Inventory'!$E$2:$E$71,MATCH(E87,'Inventory'!$A$2:$A$71,0)),0)</x:f>
        <x:v>16230</x:v>
      </x:c>
      <x:c r="K87" s="76" t="n">
        <x:f>IFERROR(INDEX('Inventory'!$F$2:$F$71,MATCH(E87,'Inventory'!$A$2:$A$71,0)),0)</x:f>
        <x:v>1037</x:v>
      </x:c>
      <x:c r="L87" s="76" t="n">
        <x:f>SUMIFS('Open_POs'!$D$2:$D$26,'Open_POs'!$B$2:$B$26,E87,'Open_POs'!$E$2:$E$26,"&lt;="&amp;B87)</x:f>
        <x:v>0</x:v>
      </x:c>
      <x:c r="M87" s="76" t="n">
        <x:f>J87+L87</x:f>
        <x:v>16230</x:v>
      </x:c>
      <x:c r="N87" s="76" t="n">
        <x:f>SUMIFS($I$2:I87,$E$2:E87,E87)</x:f>
        <x:v>4890.2</x:v>
      </x:c>
      <x:c r="O87" s="76" t="n">
        <x:f>M87-N87</x:f>
        <x:v>11339.8</x:v>
      </x:c>
      <x:c r="P87" s="71" t="str">
        <x:f>IF(O87&lt;0,"SHORT",IF(O87&lt;K87,"BELOW TARGET","COVERED"))</x:f>
        <x:v>COVERED</x:v>
      </x:c>
      <x:c r="Q87" s="63" t="str">
        <x:f>IF(AND(P87="SHORT",COUNTIFS($E$2:E87,E87,$P$2:P87,"SHORT")=1),B87,"")</x:f>
      </x:c>
    </x:row>
    <x:row r="88" ht="15" customHeight="1">
      <x:c r="A88" s="71" t="str">
        <x:v>SO-26039</x:v>
      </x:c>
      <x:c r="B88" s="75" t="n">
        <x:v>46262</x:v>
      </x:c>
      <x:c r="C88" s="71" t="str">
        <x:v>High</x:v>
      </x:c>
      <x:c r="D88" s="71" t="str">
        <x:v>FG-004</x:v>
      </x:c>
      <x:c r="E88" s="71" t="str">
        <x:v>RM-016</x:v>
      </x:c>
      <x:c r="F88" s="71" t="str">
        <x:v>Resin 016</x:v>
      </x:c>
      <x:c r="G88" s="76" t="n">
        <x:v>80</x:v>
      </x:c>
      <x:c r="H88" s="76" t="n">
        <x:v>47.78</x:v>
      </x:c>
      <x:c r="I88" s="76" t="n">
        <x:f>G88*H88</x:f>
        <x:v>3822.4</x:v>
      </x:c>
      <x:c r="J88" s="76" t="n">
        <x:f>IFERROR(INDEX('Inventory'!$E$2:$E$71,MATCH(E88,'Inventory'!$A$2:$A$71,0)),0)</x:f>
        <x:v>116</x:v>
      </x:c>
      <x:c r="K88" s="76" t="n">
        <x:f>IFERROR(INDEX('Inventory'!$F$2:$F$71,MATCH(E88,'Inventory'!$A$2:$A$71,0)),0)</x:f>
        <x:v>888</x:v>
      </x:c>
      <x:c r="L88" s="76" t="n">
        <x:f>SUMIFS('Open_POs'!$D$2:$D$26,'Open_POs'!$B$2:$B$26,E88,'Open_POs'!$E$2:$E$26,"&lt;="&amp;B88)</x:f>
        <x:v>0</x:v>
      </x:c>
      <x:c r="M88" s="76" t="n">
        <x:f>J88+L88</x:f>
        <x:v>116</x:v>
      </x:c>
      <x:c r="N88" s="76" t="n">
        <x:f>SUMIFS($I$2:I88,$E$2:E88,E88)</x:f>
        <x:v>3822.4</x:v>
      </x:c>
      <x:c r="O88" s="76" t="n">
        <x:f>M88-N88</x:f>
        <x:v>-3706.4</x:v>
      </x:c>
      <x:c r="P88" s="71" t="str">
        <x:f>IF(O88&lt;0,"SHORT",IF(O88&lt;K88,"BELOW TARGET","COVERED"))</x:f>
        <x:v>SHORT</x:v>
      </x:c>
      <x:c r="Q88" s="63" t="n">
        <x:f>IF(AND(P88="SHORT",COUNTIFS($E$2:E88,E88,$P$2:P88,"SHORT")=1),B88,"")</x:f>
        <x:v>46262</x:v>
      </x:c>
    </x:row>
    <x:row r="89" ht="15" customHeight="1">
      <x:c r="A89" s="71" t="str">
        <x:v>SO-26039</x:v>
      </x:c>
      <x:c r="B89" s="75" t="n">
        <x:v>46262</x:v>
      </x:c>
      <x:c r="C89" s="71" t="str">
        <x:v>High</x:v>
      </x:c>
      <x:c r="D89" s="71" t="str">
        <x:v>FG-004</x:v>
      </x:c>
      <x:c r="E89" s="71" t="str">
        <x:v>RM-021</x:v>
      </x:c>
      <x:c r="F89" s="71" t="str">
        <x:v>Resin 021</x:v>
      </x:c>
      <x:c r="G89" s="76" t="n">
        <x:v>80</x:v>
      </x:c>
      <x:c r="H89" s="76" t="n">
        <x:v>34.73</x:v>
      </x:c>
      <x:c r="I89" s="76" t="n">
        <x:f>G89*H89</x:f>
        <x:v>2778.3999999999996</x:v>
      </x:c>
      <x:c r="J89" s="76" t="n">
        <x:f>IFERROR(INDEX('Inventory'!$E$2:$E$71,MATCH(E89,'Inventory'!$A$2:$A$71,0)),0)</x:f>
        <x:v>8041</x:v>
      </x:c>
      <x:c r="K89" s="76" t="n">
        <x:f>IFERROR(INDEX('Inventory'!$F$2:$F$71,MATCH(E89,'Inventory'!$A$2:$A$71,0)),0)</x:f>
        <x:v>264</x:v>
      </x:c>
      <x:c r="L89" s="76" t="n">
        <x:f>SUMIFS('Open_POs'!$D$2:$D$26,'Open_POs'!$B$2:$B$26,E89,'Open_POs'!$E$2:$E$26,"&lt;="&amp;B89)</x:f>
        <x:v>0</x:v>
      </x:c>
      <x:c r="M89" s="76" t="n">
        <x:f>J89+L89</x:f>
        <x:v>8041</x:v>
      </x:c>
      <x:c r="N89" s="76" t="n">
        <x:f>SUMIFS($I$2:I89,$E$2:E89,E89)</x:f>
        <x:v>4966.799999999999</x:v>
      </x:c>
      <x:c r="O89" s="76" t="n">
        <x:f>M89-N89</x:f>
        <x:v>3074.2000000000007</x:v>
      </x:c>
      <x:c r="P89" s="71" t="str">
        <x:f>IF(O89&lt;0,"SHORT",IF(O89&lt;K89,"BELOW TARGET","COVERED"))</x:f>
        <x:v>COVERED</x:v>
      </x:c>
      <x:c r="Q89" s="63" t="str">
        <x:f>IF(AND(P89="SHORT",COUNTIFS($E$2:E89,E89,$P$2:P89,"SHORT")=1),B89,"")</x:f>
      </x:c>
    </x:row>
    <x:row r="90" ht="15" customHeight="1">
      <x:c r="A90" s="71" t="str">
        <x:v>SO-26039</x:v>
      </x:c>
      <x:c r="B90" s="75" t="n">
        <x:v>46262</x:v>
      </x:c>
      <x:c r="C90" s="71" t="str">
        <x:v>High</x:v>
      </x:c>
      <x:c r="D90" s="71" t="str">
        <x:v>FG-004</x:v>
      </x:c>
      <x:c r="E90" s="71" t="str">
        <x:v>RM-034</x:v>
      </x:c>
      <x:c r="F90" s="71" t="str">
        <x:v>Additive 034</x:v>
      </x:c>
      <x:c r="G90" s="76" t="n">
        <x:v>80</x:v>
      </x:c>
      <x:c r="H90" s="76" t="n">
        <x:v>107.4</x:v>
      </x:c>
      <x:c r="I90" s="76" t="n">
        <x:f>G90*H90</x:f>
        <x:v>8592</x:v>
      </x:c>
      <x:c r="J90" s="76" t="n">
        <x:f>IFERROR(INDEX('Inventory'!$E$2:$E$71,MATCH(E90,'Inventory'!$A$2:$A$71,0)),0)</x:f>
        <x:v>1971</x:v>
      </x:c>
      <x:c r="K90" s="76" t="n">
        <x:f>IFERROR(INDEX('Inventory'!$F$2:$F$71,MATCH(E90,'Inventory'!$A$2:$A$71,0)),0)</x:f>
        <x:v>1061</x:v>
      </x:c>
      <x:c r="L90" s="76" t="n">
        <x:f>SUMIFS('Open_POs'!$D$2:$D$26,'Open_POs'!$B$2:$B$26,E90,'Open_POs'!$E$2:$E$26,"&lt;="&amp;B90)</x:f>
        <x:v>0</x:v>
      </x:c>
      <x:c r="M90" s="76" t="n">
        <x:f>J90+L90</x:f>
        <x:v>1971</x:v>
      </x:c>
      <x:c r="N90" s="76" t="n">
        <x:f>SUMIFS($I$2:I90,$E$2:E90,E90)</x:f>
        <x:v>25033.4</x:v>
      </x:c>
      <x:c r="O90" s="76" t="n">
        <x:f>M90-N90</x:f>
        <x:v>-23062.4</x:v>
      </x:c>
      <x:c r="P90" s="71" t="str">
        <x:f>IF(O90&lt;0,"SHORT",IF(O90&lt;K90,"BELOW TARGET","COVERED"))</x:f>
        <x:v>SHORT</x:v>
      </x:c>
      <x:c r="Q90" s="63" t="str">
        <x:f>IF(AND(P90="SHORT",COUNTIFS($E$2:E90,E90,$P$2:P90,"SHORT")=1),B90,"")</x:f>
      </x:c>
    </x:row>
    <x:row r="91" ht="15" customHeight="1">
      <x:c r="A91" s="71" t="str">
        <x:v>SO-26039</x:v>
      </x:c>
      <x:c r="B91" s="75" t="n">
        <x:v>46262</x:v>
      </x:c>
      <x:c r="C91" s="71" t="str">
        <x:v>High</x:v>
      </x:c>
      <x:c r="D91" s="71" t="str">
        <x:v>FG-004</x:v>
      </x:c>
      <x:c r="E91" s="71" t="str">
        <x:v>RM-045</x:v>
      </x:c>
      <x:c r="F91" s="71" t="str">
        <x:v>Packaging 045</x:v>
      </x:c>
      <x:c r="G91" s="76" t="n">
        <x:v>80</x:v>
      </x:c>
      <x:c r="H91" s="76" t="n">
        <x:v>48.84</x:v>
      </x:c>
      <x:c r="I91" s="76" t="n">
        <x:f>G91*H91</x:f>
        <x:v>3907.2000000000003</x:v>
      </x:c>
      <x:c r="J91" s="76" t="n">
        <x:f>IFERROR(INDEX('Inventory'!$E$2:$E$71,MATCH(E91,'Inventory'!$A$2:$A$71,0)),0)</x:f>
        <x:v>16745</x:v>
      </x:c>
      <x:c r="K91" s="76" t="n">
        <x:f>IFERROR(INDEX('Inventory'!$F$2:$F$71,MATCH(E91,'Inventory'!$A$2:$A$71,0)),0)</x:f>
        <x:v>634</x:v>
      </x:c>
      <x:c r="L91" s="76" t="n">
        <x:f>SUMIFS('Open_POs'!$D$2:$D$26,'Open_POs'!$B$2:$B$26,E91,'Open_POs'!$E$2:$E$26,"&lt;="&amp;B91)</x:f>
        <x:v>0</x:v>
      </x:c>
      <x:c r="M91" s="76" t="n">
        <x:f>J91+L91</x:f>
        <x:v>16745</x:v>
      </x:c>
      <x:c r="N91" s="76" t="n">
        <x:f>SUMIFS($I$2:I91,$E$2:E91,E91)</x:f>
        <x:v>3907.2000000000003</x:v>
      </x:c>
      <x:c r="O91" s="76" t="n">
        <x:f>M91-N91</x:f>
        <x:v>12837.8</x:v>
      </x:c>
      <x:c r="P91" s="71" t="str">
        <x:f>IF(O91&lt;0,"SHORT",IF(O91&lt;K91,"BELOW TARGET","COVERED"))</x:f>
        <x:v>COVERED</x:v>
      </x:c>
      <x:c r="Q91" s="63" t="str">
        <x:f>IF(AND(P91="SHORT",COUNTIFS($E$2:E91,E91,$P$2:P91,"SHORT")=1),B91,"")</x:f>
      </x:c>
    </x:row>
    <x:row r="92" ht="15" customHeight="1">
      <x:c r="A92" s="71" t="str">
        <x:v>SO-26039</x:v>
      </x:c>
      <x:c r="B92" s="75" t="n">
        <x:v>46262</x:v>
      </x:c>
      <x:c r="C92" s="71" t="str">
        <x:v>High</x:v>
      </x:c>
      <x:c r="D92" s="71" t="str">
        <x:v>FG-004</x:v>
      </x:c>
      <x:c r="E92" s="71" t="str">
        <x:v>RM-061</x:v>
      </x:c>
      <x:c r="F92" s="71" t="str">
        <x:v>Resin 061</x:v>
      </x:c>
      <x:c r="G92" s="76" t="n">
        <x:v>80</x:v>
      </x:c>
      <x:c r="H92" s="76" t="n">
        <x:v>85.98</x:v>
      </x:c>
      <x:c r="I92" s="76" t="n">
        <x:f>G92*H92</x:f>
        <x:v>6878.400000000001</x:v>
      </x:c>
      <x:c r="J92" s="76" t="n">
        <x:f>IFERROR(INDEX('Inventory'!$E$2:$E$71,MATCH(E92,'Inventory'!$A$2:$A$71,0)),0)</x:f>
        <x:v>16149</x:v>
      </x:c>
      <x:c r="K92" s="76" t="n">
        <x:f>IFERROR(INDEX('Inventory'!$F$2:$F$71,MATCH(E92,'Inventory'!$A$2:$A$71,0)),0)</x:f>
        <x:v>521</x:v>
      </x:c>
      <x:c r="L92" s="76" t="n">
        <x:f>SUMIFS('Open_POs'!$D$2:$D$26,'Open_POs'!$B$2:$B$26,E92,'Open_POs'!$E$2:$E$26,"&lt;="&amp;B92)</x:f>
        <x:v>0</x:v>
      </x:c>
      <x:c r="M92" s="76" t="n">
        <x:f>J92+L92</x:f>
        <x:v>16149</x:v>
      </x:c>
      <x:c r="N92" s="76" t="n">
        <x:f>SUMIFS($I$2:I92,$E$2:E92,E92)</x:f>
        <x:v>6878.400000000001</x:v>
      </x:c>
      <x:c r="O92" s="76" t="n">
        <x:f>M92-N92</x:f>
        <x:v>9270.599999999999</x:v>
      </x:c>
      <x:c r="P92" s="71" t="str">
        <x:f>IF(O92&lt;0,"SHORT",IF(O92&lt;K92,"BELOW TARGET","COVERED"))</x:f>
        <x:v>COVERED</x:v>
      </x:c>
      <x:c r="Q92" s="63" t="str">
        <x:f>IF(AND(P92="SHORT",COUNTIFS($E$2:E92,E92,$P$2:P92,"SHORT")=1),B92,"")</x:f>
      </x:c>
    </x:row>
    <x:row r="93" ht="15" customHeight="1">
      <x:c r="A93" s="71" t="str">
        <x:v>SO-26040</x:v>
      </x:c>
      <x:c r="B93" s="75" t="n">
        <x:v>46262</x:v>
      </x:c>
      <x:c r="C93" s="71" t="str">
        <x:v>High</x:v>
      </x:c>
      <x:c r="D93" s="71" t="str">
        <x:v>FG-011</x:v>
      </x:c>
      <x:c r="E93" s="71" t="str">
        <x:v>RM-005</x:v>
      </x:c>
      <x:c r="F93" s="71" t="str">
        <x:v>Packaging 005</x:v>
      </x:c>
      <x:c r="G93" s="76" t="n">
        <x:v>60</x:v>
      </x:c>
      <x:c r="H93" s="76" t="n">
        <x:v>66.99</x:v>
      </x:c>
      <x:c r="I93" s="76" t="n">
        <x:f>G93*H93</x:f>
        <x:v>4019.3999999999996</x:v>
      </x:c>
      <x:c r="J93" s="76" t="n">
        <x:f>IFERROR(INDEX('Inventory'!$E$2:$E$71,MATCH(E93,'Inventory'!$A$2:$A$71,0)),0)</x:f>
        <x:v>8699</x:v>
      </x:c>
      <x:c r="K93" s="76" t="n">
        <x:f>IFERROR(INDEX('Inventory'!$F$2:$F$71,MATCH(E93,'Inventory'!$A$2:$A$71,0)),0)</x:f>
        <x:v>1174</x:v>
      </x:c>
      <x:c r="L93" s="76" t="n">
        <x:f>SUMIFS('Open_POs'!$D$2:$D$26,'Open_POs'!$B$2:$B$26,E93,'Open_POs'!$E$2:$E$26,"&lt;="&amp;B93)</x:f>
        <x:v>0</x:v>
      </x:c>
      <x:c r="M93" s="76" t="n">
        <x:f>J93+L93</x:f>
        <x:v>8699</x:v>
      </x:c>
      <x:c r="N93" s="76" t="n">
        <x:f>SUMIFS($I$2:I93,$E$2:E93,E93)</x:f>
        <x:v>5765.7</x:v>
      </x:c>
      <x:c r="O93" s="76" t="n">
        <x:f>M93-N93</x:f>
        <x:v>2933.3</x:v>
      </x:c>
      <x:c r="P93" s="71" t="str">
        <x:f>IF(O93&lt;0,"SHORT",IF(O93&lt;K93,"BELOW TARGET","COVERED"))</x:f>
        <x:v>COVERED</x:v>
      </x:c>
      <x:c r="Q93" s="63" t="str">
        <x:f>IF(AND(P93="SHORT",COUNTIFS($E$2:E93,E93,$P$2:P93,"SHORT")=1),B93,"")</x:f>
      </x:c>
    </x:row>
    <x:row r="94" ht="15" customHeight="1">
      <x:c r="A94" s="71" t="str">
        <x:v>SO-26040</x:v>
      </x:c>
      <x:c r="B94" s="75" t="n">
        <x:v>46262</x:v>
      </x:c>
      <x:c r="C94" s="71" t="str">
        <x:v>High</x:v>
      </x:c>
      <x:c r="D94" s="71" t="str">
        <x:v>FG-011</x:v>
      </x:c>
      <x:c r="E94" s="71" t="str">
        <x:v>RM-008</x:v>
      </x:c>
      <x:c r="F94" s="71" t="str">
        <x:v>Filler 008</x:v>
      </x:c>
      <x:c r="G94" s="76" t="n">
        <x:v>60</x:v>
      </x:c>
      <x:c r="H94" s="76" t="n">
        <x:v>39.55</x:v>
      </x:c>
      <x:c r="I94" s="76" t="n">
        <x:f>G94*H94</x:f>
        <x:v>2373</x:v>
      </x:c>
      <x:c r="J94" s="76" t="n">
        <x:f>IFERROR(INDEX('Inventory'!$E$2:$E$71,MATCH(E94,'Inventory'!$A$2:$A$71,0)),0)</x:f>
        <x:v>430</x:v>
      </x:c>
      <x:c r="K94" s="76" t="n">
        <x:f>IFERROR(INDEX('Inventory'!$F$2:$F$71,MATCH(E94,'Inventory'!$A$2:$A$71,0)),0)</x:f>
        <x:v>1037</x:v>
      </x:c>
      <x:c r="L94" s="76" t="n">
        <x:f>SUMIFS('Open_POs'!$D$2:$D$26,'Open_POs'!$B$2:$B$26,E94,'Open_POs'!$E$2:$E$26,"&lt;="&amp;B94)</x:f>
        <x:v>0</x:v>
      </x:c>
      <x:c r="M94" s="76" t="n">
        <x:f>J94+L94</x:f>
        <x:v>430</x:v>
      </x:c>
      <x:c r="N94" s="76" t="n">
        <x:f>SUMIFS($I$2:I94,$E$2:E94,E94)</x:f>
        <x:v>4210.5</x:v>
      </x:c>
      <x:c r="O94" s="76" t="n">
        <x:f>M94-N94</x:f>
        <x:v>-3780.5</x:v>
      </x:c>
      <x:c r="P94" s="71" t="str">
        <x:f>IF(O94&lt;0,"SHORT",IF(O94&lt;K94,"BELOW TARGET","COVERED"))</x:f>
        <x:v>SHORT</x:v>
      </x:c>
      <x:c r="Q94" s="63" t="str">
        <x:f>IF(AND(P94="SHORT",COUNTIFS($E$2:E94,E94,$P$2:P94,"SHORT")=1),B94,"")</x:f>
      </x:c>
    </x:row>
    <x:row r="95" ht="15" customHeight="1">
      <x:c r="A95" s="71" t="str">
        <x:v>SO-26040</x:v>
      </x:c>
      <x:c r="B95" s="75" t="n">
        <x:v>46262</x:v>
      </x:c>
      <x:c r="C95" s="71" t="str">
        <x:v>High</x:v>
      </x:c>
      <x:c r="D95" s="71" t="str">
        <x:v>FG-011</x:v>
      </x:c>
      <x:c r="E95" s="71" t="str">
        <x:v>RM-010</x:v>
      </x:c>
      <x:c r="F95" s="71" t="str">
        <x:v>Packaging 010</x:v>
      </x:c>
      <x:c r="G95" s="76" t="n">
        <x:v>60</x:v>
      </x:c>
      <x:c r="H95" s="76" t="n">
        <x:v>104.73</x:v>
      </x:c>
      <x:c r="I95" s="76" t="n">
        <x:f>G95*H95</x:f>
        <x:v>6283.8</x:v>
      </x:c>
      <x:c r="J95" s="76" t="n">
        <x:f>IFERROR(INDEX('Inventory'!$E$2:$E$71,MATCH(E95,'Inventory'!$A$2:$A$71,0)),0)</x:f>
        <x:v>14191</x:v>
      </x:c>
      <x:c r="K95" s="76" t="n">
        <x:f>IFERROR(INDEX('Inventory'!$F$2:$F$71,MATCH(E95,'Inventory'!$A$2:$A$71,0)),0)</x:f>
        <x:v>615</x:v>
      </x:c>
      <x:c r="L95" s="76" t="n">
        <x:f>SUMIFS('Open_POs'!$D$2:$D$26,'Open_POs'!$B$2:$B$26,E95,'Open_POs'!$E$2:$E$26,"&lt;="&amp;B95)</x:f>
        <x:v>0</x:v>
      </x:c>
      <x:c r="M95" s="76" t="n">
        <x:f>J95+L95</x:f>
        <x:v>14191</x:v>
      </x:c>
      <x:c r="N95" s="76" t="n">
        <x:f>SUMIFS($I$2:I95,$E$2:E95,E95)</x:f>
        <x:v>10838.400000000001</x:v>
      </x:c>
      <x:c r="O95" s="76" t="n">
        <x:f>M95-N95</x:f>
        <x:v>3352.5999999999985</x:v>
      </x:c>
      <x:c r="P95" s="71" t="str">
        <x:f>IF(O95&lt;0,"SHORT",IF(O95&lt;K95,"BELOW TARGET","COVERED"))</x:f>
        <x:v>COVERED</x:v>
      </x:c>
      <x:c r="Q95" s="63" t="str">
        <x:f>IF(AND(P95="SHORT",COUNTIFS($E$2:E95,E95,$P$2:P95,"SHORT")=1),B95,"")</x:f>
      </x:c>
    </x:row>
    <x:row r="96" ht="15" customHeight="1">
      <x:c r="A96" s="71" t="str">
        <x:v>SO-26040</x:v>
      </x:c>
      <x:c r="B96" s="75" t="n">
        <x:v>46262</x:v>
      </x:c>
      <x:c r="C96" s="71" t="str">
        <x:v>High</x:v>
      </x:c>
      <x:c r="D96" s="71" t="str">
        <x:v>FG-011</x:v>
      </x:c>
      <x:c r="E96" s="71" t="str">
        <x:v>RM-019</x:v>
      </x:c>
      <x:c r="F96" s="71" t="str">
        <x:v>Additive 019</x:v>
      </x:c>
      <x:c r="G96" s="76" t="n">
        <x:v>60</x:v>
      </x:c>
      <x:c r="H96" s="76" t="n">
        <x:v>13.26</x:v>
      </x:c>
      <x:c r="I96" s="76" t="n">
        <x:f>G96*H96</x:f>
        <x:v>795.6</x:v>
      </x:c>
      <x:c r="J96" s="76" t="n">
        <x:f>IFERROR(INDEX('Inventory'!$E$2:$E$71,MATCH(E96,'Inventory'!$A$2:$A$71,0)),0)</x:f>
        <x:v>6552</x:v>
      </x:c>
      <x:c r="K96" s="76" t="n">
        <x:f>IFERROR(INDEX('Inventory'!$F$2:$F$71,MATCH(E96,'Inventory'!$A$2:$A$71,0)),0)</x:f>
        <x:v>1079</x:v>
      </x:c>
      <x:c r="L96" s="76" t="n">
        <x:f>SUMIFS('Open_POs'!$D$2:$D$26,'Open_POs'!$B$2:$B$26,E96,'Open_POs'!$E$2:$E$26,"&lt;="&amp;B96)</x:f>
        <x:v>0</x:v>
      </x:c>
      <x:c r="M96" s="76" t="n">
        <x:f>J96+L96</x:f>
        <x:v>6552</x:v>
      </x:c>
      <x:c r="N96" s="76" t="n">
        <x:f>SUMIFS($I$2:I96,$E$2:E96,E96)</x:f>
        <x:v>795.6</x:v>
      </x:c>
      <x:c r="O96" s="76" t="n">
        <x:f>M96-N96</x:f>
        <x:v>5756.4</x:v>
      </x:c>
      <x:c r="P96" s="71" t="str">
        <x:f>IF(O96&lt;0,"SHORT",IF(O96&lt;K96,"BELOW TARGET","COVERED"))</x:f>
        <x:v>COVERED</x:v>
      </x:c>
      <x:c r="Q96" s="63" t="str">
        <x:f>IF(AND(P96="SHORT",COUNTIFS($E$2:E96,E96,$P$2:P96,"SHORT")=1),B96,"")</x:f>
      </x:c>
    </x:row>
    <x:row r="97" ht="15" customHeight="1">
      <x:c r="A97" s="71" t="str">
        <x:v>SO-26040</x:v>
      </x:c>
      <x:c r="B97" s="75" t="n">
        <x:v>46262</x:v>
      </x:c>
      <x:c r="C97" s="71" t="str">
        <x:v>High</x:v>
      </x:c>
      <x:c r="D97" s="71" t="str">
        <x:v>FG-011</x:v>
      </x:c>
      <x:c r="E97" s="71" t="str">
        <x:v>RM-031</x:v>
      </x:c>
      <x:c r="F97" s="71" t="str">
        <x:v>Resin 031</x:v>
      </x:c>
      <x:c r="G97" s="76" t="n">
        <x:v>60</x:v>
      </x:c>
      <x:c r="H97" s="76" t="n">
        <x:v>21.51</x:v>
      </x:c>
      <x:c r="I97" s="76" t="n">
        <x:f>G97*H97</x:f>
        <x:v>1290.6000000000001</x:v>
      </x:c>
      <x:c r="J97" s="76" t="n">
        <x:f>IFERROR(INDEX('Inventory'!$E$2:$E$71,MATCH(E97,'Inventory'!$A$2:$A$71,0)),0)</x:f>
        <x:v>6087</x:v>
      </x:c>
      <x:c r="K97" s="76" t="n">
        <x:f>IFERROR(INDEX('Inventory'!$F$2:$F$71,MATCH(E97,'Inventory'!$A$2:$A$71,0)),0)</x:f>
        <x:v>714</x:v>
      </x:c>
      <x:c r="L97" s="76" t="n">
        <x:f>SUMIFS('Open_POs'!$D$2:$D$26,'Open_POs'!$B$2:$B$26,E97,'Open_POs'!$E$2:$E$26,"&lt;="&amp;B97)</x:f>
        <x:v>0</x:v>
      </x:c>
      <x:c r="M97" s="76" t="n">
        <x:f>J97+L97</x:f>
        <x:v>6087</x:v>
      </x:c>
      <x:c r="N97" s="76" t="n">
        <x:f>SUMIFS($I$2:I97,$E$2:E97,E97)</x:f>
        <x:v>3444.6000000000004</x:v>
      </x:c>
      <x:c r="O97" s="76" t="n">
        <x:f>M97-N97</x:f>
        <x:v>2642.3999999999996</x:v>
      </x:c>
      <x:c r="P97" s="71" t="str">
        <x:f>IF(O97&lt;0,"SHORT",IF(O97&lt;K97,"BELOW TARGET","COVERED"))</x:f>
        <x:v>COVERED</x:v>
      </x:c>
      <x:c r="Q97" s="63" t="str">
        <x:f>IF(AND(P97="SHORT",COUNTIFS($E$2:E97,E97,$P$2:P97,"SHORT")=1),B97,"")</x:f>
      </x:c>
    </x:row>
    <x:row r="98" ht="15" customHeight="1">
      <x:c r="A98" s="71" t="str">
        <x:v>SO-26040</x:v>
      </x:c>
      <x:c r="B98" s="75" t="n">
        <x:v>46262</x:v>
      </x:c>
      <x:c r="C98" s="71" t="str">
        <x:v>High</x:v>
      </x:c>
      <x:c r="D98" s="71" t="str">
        <x:v>FG-011</x:v>
      </x:c>
      <x:c r="E98" s="71" t="str">
        <x:v>RM-032</x:v>
      </x:c>
      <x:c r="F98" s="71" t="str">
        <x:v>Pigment 032</x:v>
      </x:c>
      <x:c r="G98" s="76" t="n">
        <x:v>60</x:v>
      </x:c>
      <x:c r="H98" s="76" t="n">
        <x:v>119.29</x:v>
      </x:c>
      <x:c r="I98" s="76" t="n">
        <x:f>G98*H98</x:f>
        <x:v>7157.400000000001</x:v>
      </x:c>
      <x:c r="J98" s="76" t="n">
        <x:f>IFERROR(INDEX('Inventory'!$E$2:$E$71,MATCH(E98,'Inventory'!$A$2:$A$71,0)),0)</x:f>
        <x:v>674</x:v>
      </x:c>
      <x:c r="K98" s="76" t="n">
        <x:f>IFERROR(INDEX('Inventory'!$F$2:$F$71,MATCH(E98,'Inventory'!$A$2:$A$71,0)),0)</x:f>
        <x:v>1056</x:v>
      </x:c>
      <x:c r="L98" s="76" t="n">
        <x:f>SUMIFS('Open_POs'!$D$2:$D$26,'Open_POs'!$B$2:$B$26,E98,'Open_POs'!$E$2:$E$26,"&lt;="&amp;B98)</x:f>
        <x:v>0</x:v>
      </x:c>
      <x:c r="M98" s="76" t="n">
        <x:f>J98+L98</x:f>
        <x:v>674</x:v>
      </x:c>
      <x:c r="N98" s="76" t="n">
        <x:f>SUMIFS($I$2:I98,$E$2:E98,E98)</x:f>
        <x:v>18837.4</x:v>
      </x:c>
      <x:c r="O98" s="76" t="n">
        <x:f>M98-N98</x:f>
        <x:v>-18163.4</x:v>
      </x:c>
      <x:c r="P98" s="71" t="str">
        <x:f>IF(O98&lt;0,"SHORT",IF(O98&lt;K98,"BELOW TARGET","COVERED"))</x:f>
        <x:v>SHORT</x:v>
      </x:c>
      <x:c r="Q98" s="63" t="str">
        <x:f>IF(AND(P98="SHORT",COUNTIFS($E$2:E98,E98,$P$2:P98,"SHORT")=1),B98,"")</x:f>
      </x:c>
    </x:row>
    <x:row r="99" ht="15" customHeight="1">
      <x:c r="A99" s="71" t="str">
        <x:v>SO-26040</x:v>
      </x:c>
      <x:c r="B99" s="75" t="n">
        <x:v>46262</x:v>
      </x:c>
      <x:c r="C99" s="71" t="str">
        <x:v>High</x:v>
      </x:c>
      <x:c r="D99" s="71" t="str">
        <x:v>FG-011</x:v>
      </x:c>
      <x:c r="E99" s="71" t="str">
        <x:v>RM-036</x:v>
      </x:c>
      <x:c r="F99" s="71" t="str">
        <x:v>Resin 036</x:v>
      </x:c>
      <x:c r="G99" s="76" t="n">
        <x:v>60</x:v>
      </x:c>
      <x:c r="H99" s="76" t="n">
        <x:v>52.72</x:v>
      </x:c>
      <x:c r="I99" s="76" t="n">
        <x:f>G99*H99</x:f>
        <x:v>3163.2</x:v>
      </x:c>
      <x:c r="J99" s="76" t="n">
        <x:f>IFERROR(INDEX('Inventory'!$E$2:$E$71,MATCH(E99,'Inventory'!$A$2:$A$71,0)),0)</x:f>
        <x:v>12427</x:v>
      </x:c>
      <x:c r="K99" s="76" t="n">
        <x:f>IFERROR(INDEX('Inventory'!$F$2:$F$71,MATCH(E99,'Inventory'!$A$2:$A$71,0)),0)</x:f>
        <x:v>1016</x:v>
      </x:c>
      <x:c r="L99" s="76" t="n">
        <x:f>SUMIFS('Open_POs'!$D$2:$D$26,'Open_POs'!$B$2:$B$26,E99,'Open_POs'!$E$2:$E$26,"&lt;="&amp;B99)</x:f>
        <x:v>1000</x:v>
      </x:c>
      <x:c r="M99" s="76" t="n">
        <x:f>J99+L99</x:f>
        <x:v>13427</x:v>
      </x:c>
      <x:c r="N99" s="76" t="n">
        <x:f>SUMIFS($I$2:I99,$E$2:E99,E99)</x:f>
        <x:v>3542.7</x:v>
      </x:c>
      <x:c r="O99" s="76" t="n">
        <x:f>M99-N99</x:f>
        <x:v>9884.3</x:v>
      </x:c>
      <x:c r="P99" s="71" t="str">
        <x:f>IF(O99&lt;0,"SHORT",IF(O99&lt;K99,"BELOW TARGET","COVERED"))</x:f>
        <x:v>COVERED</x:v>
      </x:c>
      <x:c r="Q99" s="63" t="str">
        <x:f>IF(AND(P99="SHORT",COUNTIFS($E$2:E99,E99,$P$2:P99,"SHORT")=1),B99,"")</x:f>
      </x:c>
    </x:row>
    <x:row r="100" ht="15" customHeight="1">
      <x:c r="A100" s="71" t="str">
        <x:v>SO-26040</x:v>
      </x:c>
      <x:c r="B100" s="75" t="n">
        <x:v>46262</x:v>
      </x:c>
      <x:c r="C100" s="71" t="str">
        <x:v>High</x:v>
      </x:c>
      <x:c r="D100" s="71" t="str">
        <x:v>FG-011</x:v>
      </x:c>
      <x:c r="E100" s="71" t="str">
        <x:v>RM-058</x:v>
      </x:c>
      <x:c r="F100" s="71" t="str">
        <x:v>Filler 058</x:v>
      </x:c>
      <x:c r="G100" s="76" t="n">
        <x:v>60</x:v>
      </x:c>
      <x:c r="H100" s="76" t="n">
        <x:v>26.63</x:v>
      </x:c>
      <x:c r="I100" s="76" t="n">
        <x:f>G100*H100</x:f>
        <x:v>1597.8</x:v>
      </x:c>
      <x:c r="J100" s="76" t="n">
        <x:f>IFERROR(INDEX('Inventory'!$E$2:$E$71,MATCH(E100,'Inventory'!$A$2:$A$71,0)),0)</x:f>
        <x:v>9929</x:v>
      </x:c>
      <x:c r="K100" s="76" t="n">
        <x:f>IFERROR(INDEX('Inventory'!$F$2:$F$71,MATCH(E100,'Inventory'!$A$2:$A$71,0)),0)</x:f>
        <x:v>701</x:v>
      </x:c>
      <x:c r="L100" s="76" t="n">
        <x:f>SUMIFS('Open_POs'!$D$2:$D$26,'Open_POs'!$B$2:$B$26,E100,'Open_POs'!$E$2:$E$26,"&lt;="&amp;B100)</x:f>
        <x:v>0</x:v>
      </x:c>
      <x:c r="M100" s="76" t="n">
        <x:f>J100+L100</x:f>
        <x:v>9929</x:v>
      </x:c>
      <x:c r="N100" s="76" t="n">
        <x:f>SUMIFS($I$2:I100,$E$2:E100,E100)</x:f>
        <x:v>9657.599999999999</x:v>
      </x:c>
      <x:c r="O100" s="76" t="n">
        <x:f>M100-N100</x:f>
        <x:v>271.40000000000146</x:v>
      </x:c>
      <x:c r="P100" s="71" t="str">
        <x:f>IF(O100&lt;0,"SHORT",IF(O100&lt;K100,"BELOW TARGET","COVERED"))</x:f>
        <x:v>BELOW TARGET</x:v>
      </x:c>
      <x:c r="Q100" s="63" t="str">
        <x:f>IF(AND(P100="SHORT",COUNTIFS($E$2:E100,E100,$P$2:P100,"SHORT")=1),B100,"")</x:f>
      </x:c>
    </x:row>
    <x:row r="101" ht="15" customHeight="1">
      <x:c r="A101" s="71" t="str">
        <x:v>SO-26002</x:v>
      </x:c>
      <x:c r="B101" s="75" t="n">
        <x:v>46262</x:v>
      </x:c>
      <x:c r="C101" s="71" t="str">
        <x:v>Normal</x:v>
      </x:c>
      <x:c r="D101" s="71" t="str">
        <x:v>FG-005</x:v>
      </x:c>
      <x:c r="E101" s="71" t="str">
        <x:v>RM-009</x:v>
      </x:c>
      <x:c r="F101" s="71" t="str">
        <x:v>Additive 009</x:v>
      </x:c>
      <x:c r="G101" s="76" t="n">
        <x:v>40</x:v>
      </x:c>
      <x:c r="H101" s="76" t="n">
        <x:v>38.28</x:v>
      </x:c>
      <x:c r="I101" s="76" t="n">
        <x:f>G101*H101</x:f>
        <x:v>1531.2</x:v>
      </x:c>
      <x:c r="J101" s="76" t="n">
        <x:f>IFERROR(INDEX('Inventory'!$E$2:$E$71,MATCH(E101,'Inventory'!$A$2:$A$71,0)),0)</x:f>
        <x:v>13813</x:v>
      </x:c>
      <x:c r="K101" s="76" t="n">
        <x:f>IFERROR(INDEX('Inventory'!$F$2:$F$71,MATCH(E101,'Inventory'!$A$2:$A$71,0)),0)</x:f>
        <x:v>1377</x:v>
      </x:c>
      <x:c r="L101" s="76" t="n">
        <x:f>SUMIFS('Open_POs'!$D$2:$D$26,'Open_POs'!$B$2:$B$26,E101,'Open_POs'!$E$2:$E$26,"&lt;="&amp;B101)</x:f>
        <x:v>0</x:v>
      </x:c>
      <x:c r="M101" s="76" t="n">
        <x:f>J101+L101</x:f>
        <x:v>13813</x:v>
      </x:c>
      <x:c r="N101" s="76" t="n">
        <x:f>SUMIFS($I$2:I101,$E$2:E101,E101)</x:f>
        <x:v>10174.6</x:v>
      </x:c>
      <x:c r="O101" s="76" t="n">
        <x:f>M101-N101</x:f>
        <x:v>3638.3999999999996</x:v>
      </x:c>
      <x:c r="P101" s="71" t="str">
        <x:f>IF(O101&lt;0,"SHORT",IF(O101&lt;K101,"BELOW TARGET","COVERED"))</x:f>
        <x:v>COVERED</x:v>
      </x:c>
      <x:c r="Q101" s="63" t="str">
        <x:f>IF(AND(P101="SHORT",COUNTIFS($E$2:E101,E101,$P$2:P101,"SHORT")=1),B101,"")</x:f>
      </x:c>
    </x:row>
    <x:row r="102" ht="15" customHeight="1">
      <x:c r="A102" s="71" t="str">
        <x:v>SO-26002</x:v>
      </x:c>
      <x:c r="B102" s="75" t="n">
        <x:v>46262</x:v>
      </x:c>
      <x:c r="C102" s="71" t="str">
        <x:v>Normal</x:v>
      </x:c>
      <x:c r="D102" s="71" t="str">
        <x:v>FG-005</x:v>
      </x:c>
      <x:c r="E102" s="71" t="str">
        <x:v>RM-012</x:v>
      </x:c>
      <x:c r="F102" s="71" t="str">
        <x:v>Pigment 012</x:v>
      </x:c>
      <x:c r="G102" s="76" t="n">
        <x:v>40</x:v>
      </x:c>
      <x:c r="H102" s="76" t="n">
        <x:v>76.6</x:v>
      </x:c>
      <x:c r="I102" s="76" t="n">
        <x:f>G102*H102</x:f>
        <x:v>3064</x:v>
      </x:c>
      <x:c r="J102" s="76" t="n">
        <x:f>IFERROR(INDEX('Inventory'!$E$2:$E$71,MATCH(E102,'Inventory'!$A$2:$A$71,0)),0)</x:f>
        <x:v>17683</x:v>
      </x:c>
      <x:c r="K102" s="76" t="n">
        <x:f>IFERROR(INDEX('Inventory'!$F$2:$F$71,MATCH(E102,'Inventory'!$A$2:$A$71,0)),0)</x:f>
        <x:v>814</x:v>
      </x:c>
      <x:c r="L102" s="76" t="n">
        <x:f>SUMIFS('Open_POs'!$D$2:$D$26,'Open_POs'!$B$2:$B$26,E102,'Open_POs'!$E$2:$E$26,"&lt;="&amp;B102)</x:f>
        <x:v>0</x:v>
      </x:c>
      <x:c r="M102" s="76" t="n">
        <x:f>J102+L102</x:f>
        <x:v>17683</x:v>
      </x:c>
      <x:c r="N102" s="76" t="n">
        <x:f>SUMIFS($I$2:I102,$E$2:E102,E102)</x:f>
        <x:v>3064</x:v>
      </x:c>
      <x:c r="O102" s="76" t="n">
        <x:f>M102-N102</x:f>
        <x:v>14619</x:v>
      </x:c>
      <x:c r="P102" s="71" t="str">
        <x:f>IF(O102&lt;0,"SHORT",IF(O102&lt;K102,"BELOW TARGET","COVERED"))</x:f>
        <x:v>COVERED</x:v>
      </x:c>
      <x:c r="Q102" s="63" t="str">
        <x:f>IF(AND(P102="SHORT",COUNTIFS($E$2:E102,E102,$P$2:P102,"SHORT")=1),B102,"")</x:f>
      </x:c>
    </x:row>
    <x:row r="103" ht="15" customHeight="1">
      <x:c r="A103" s="71" t="str">
        <x:v>SO-26002</x:v>
      </x:c>
      <x:c r="B103" s="75" t="n">
        <x:v>46262</x:v>
      </x:c>
      <x:c r="C103" s="71" t="str">
        <x:v>Normal</x:v>
      </x:c>
      <x:c r="D103" s="71" t="str">
        <x:v>FG-005</x:v>
      </x:c>
      <x:c r="E103" s="71" t="str">
        <x:v>RM-026</x:v>
      </x:c>
      <x:c r="F103" s="71" t="str">
        <x:v>Resin 026</x:v>
      </x:c>
      <x:c r="G103" s="76" t="n">
        <x:v>40</x:v>
      </x:c>
      <x:c r="H103" s="76" t="n">
        <x:v>77.77</x:v>
      </x:c>
      <x:c r="I103" s="76" t="n">
        <x:f>G103*H103</x:f>
        <x:v>3110.7999999999997</x:v>
      </x:c>
      <x:c r="J103" s="76" t="n">
        <x:f>IFERROR(INDEX('Inventory'!$E$2:$E$71,MATCH(E103,'Inventory'!$A$2:$A$71,0)),0)</x:f>
        <x:v>1771</x:v>
      </x:c>
      <x:c r="K103" s="76" t="n">
        <x:f>IFERROR(INDEX('Inventory'!$F$2:$F$71,MATCH(E103,'Inventory'!$A$2:$A$71,0)),0)</x:f>
        <x:v>1475</x:v>
      </x:c>
      <x:c r="L103" s="76" t="n">
        <x:f>SUMIFS('Open_POs'!$D$2:$D$26,'Open_POs'!$B$2:$B$26,E103,'Open_POs'!$E$2:$E$26,"&lt;="&amp;B103)</x:f>
        <x:v>0</x:v>
      </x:c>
      <x:c r="M103" s="76" t="n">
        <x:f>J103+L103</x:f>
        <x:v>1771</x:v>
      </x:c>
      <x:c r="N103" s="76" t="n">
        <x:f>SUMIFS($I$2:I103,$E$2:E103,E103)</x:f>
        <x:v>7732</x:v>
      </x:c>
      <x:c r="O103" s="76" t="n">
        <x:f>M103-N103</x:f>
        <x:v>-5961</x:v>
      </x:c>
      <x:c r="P103" s="71" t="str">
        <x:f>IF(O103&lt;0,"SHORT",IF(O103&lt;K103,"BELOW TARGET","COVERED"))</x:f>
        <x:v>SHORT</x:v>
      </x:c>
      <x:c r="Q103" s="63" t="str">
        <x:f>IF(AND(P103="SHORT",COUNTIFS($E$2:E103,E103,$P$2:P103,"SHORT")=1),B103,"")</x:f>
      </x:c>
    </x:row>
    <x:row r="104" ht="15" customHeight="1">
      <x:c r="A104" s="71" t="str">
        <x:v>SO-26002</x:v>
      </x:c>
      <x:c r="B104" s="75" t="n">
        <x:v>46262</x:v>
      </x:c>
      <x:c r="C104" s="71" t="str">
        <x:v>Normal</x:v>
      </x:c>
      <x:c r="D104" s="71" t="str">
        <x:v>FG-005</x:v>
      </x:c>
      <x:c r="E104" s="71" t="str">
        <x:v>RM-043</x:v>
      </x:c>
      <x:c r="F104" s="71" t="str">
        <x:v>Filler 043</x:v>
      </x:c>
      <x:c r="G104" s="76" t="n">
        <x:v>40</x:v>
      </x:c>
      <x:c r="H104" s="76" t="n">
        <x:v>76.49</x:v>
      </x:c>
      <x:c r="I104" s="76" t="n">
        <x:f>G104*H104</x:f>
        <x:v>3059.6</x:v>
      </x:c>
      <x:c r="J104" s="76" t="n">
        <x:f>IFERROR(INDEX('Inventory'!$E$2:$E$71,MATCH(E104,'Inventory'!$A$2:$A$71,0)),0)</x:f>
        <x:v>9111</x:v>
      </x:c>
      <x:c r="K104" s="76" t="n">
        <x:f>IFERROR(INDEX('Inventory'!$F$2:$F$71,MATCH(E104,'Inventory'!$A$2:$A$71,0)),0)</x:f>
        <x:v>457</x:v>
      </x:c>
      <x:c r="L104" s="76" t="n">
        <x:f>SUMIFS('Open_POs'!$D$2:$D$26,'Open_POs'!$B$2:$B$26,E104,'Open_POs'!$E$2:$E$26,"&lt;="&amp;B104)</x:f>
        <x:v>0</x:v>
      </x:c>
      <x:c r="M104" s="76" t="n">
        <x:f>J104+L104</x:f>
        <x:v>9111</x:v>
      </x:c>
      <x:c r="N104" s="76" t="n">
        <x:f>SUMIFS($I$2:I104,$E$2:E104,E104)</x:f>
        <x:v>3059.6</x:v>
      </x:c>
      <x:c r="O104" s="76" t="n">
        <x:f>M104-N104</x:f>
        <x:v>6051.4</x:v>
      </x:c>
      <x:c r="P104" s="71" t="str">
        <x:f>IF(O104&lt;0,"SHORT",IF(O104&lt;K104,"BELOW TARGET","COVERED"))</x:f>
        <x:v>COVERED</x:v>
      </x:c>
      <x:c r="Q104" s="63" t="str">
        <x:f>IF(AND(P104="SHORT",COUNTIFS($E$2:E104,E104,$P$2:P104,"SHORT")=1),B104,"")</x:f>
      </x:c>
    </x:row>
    <x:row r="105" ht="15" customHeight="1">
      <x:c r="A105" s="71" t="str">
        <x:v>SO-26002</x:v>
      </x:c>
      <x:c r="B105" s="75" t="n">
        <x:v>46262</x:v>
      </x:c>
      <x:c r="C105" s="71" t="str">
        <x:v>Normal</x:v>
      </x:c>
      <x:c r="D105" s="71" t="str">
        <x:v>FG-005</x:v>
      </x:c>
      <x:c r="E105" s="71" t="str">
        <x:v>RM-063</x:v>
      </x:c>
      <x:c r="F105" s="71" t="str">
        <x:v>Filler 063</x:v>
      </x:c>
      <x:c r="G105" s="76" t="n">
        <x:v>40</x:v>
      </x:c>
      <x:c r="H105" s="76" t="n">
        <x:v>75.47</x:v>
      </x:c>
      <x:c r="I105" s="76" t="n">
        <x:f>G105*H105</x:f>
        <x:v>3018.8</x:v>
      </x:c>
      <x:c r="J105" s="76" t="n">
        <x:f>IFERROR(INDEX('Inventory'!$E$2:$E$71,MATCH(E105,'Inventory'!$A$2:$A$71,0)),0)</x:f>
        <x:v>7508</x:v>
      </x:c>
      <x:c r="K105" s="76" t="n">
        <x:f>IFERROR(INDEX('Inventory'!$F$2:$F$71,MATCH(E105,'Inventory'!$A$2:$A$71,0)),0)</x:f>
        <x:v>1090</x:v>
      </x:c>
      <x:c r="L105" s="76" t="n">
        <x:f>SUMIFS('Open_POs'!$D$2:$D$26,'Open_POs'!$B$2:$B$26,E105,'Open_POs'!$E$2:$E$26,"&lt;="&amp;B105)</x:f>
        <x:v>5000</x:v>
      </x:c>
      <x:c r="M105" s="76" t="n">
        <x:f>J105+L105</x:f>
        <x:v>12508</x:v>
      </x:c>
      <x:c r="N105" s="76" t="n">
        <x:f>SUMIFS($I$2:I105,$E$2:E105,E105)</x:f>
        <x:v>21089</x:v>
      </x:c>
      <x:c r="O105" s="76" t="n">
        <x:f>M105-N105</x:f>
        <x:v>-8581</x:v>
      </x:c>
      <x:c r="P105" s="71" t="str">
        <x:f>IF(O105&lt;0,"SHORT",IF(O105&lt;K105,"BELOW TARGET","COVERED"))</x:f>
        <x:v>SHORT</x:v>
      </x:c>
      <x:c r="Q105" s="63" t="str">
        <x:f>IF(AND(P105="SHORT",COUNTIFS($E$2:E105,E105,$P$2:P105,"SHORT")=1),B105,"")</x:f>
      </x:c>
    </x:row>
    <x:row r="106" ht="15" customHeight="1">
      <x:c r="A106" s="71" t="str">
        <x:v>SO-26022</x:v>
      </x:c>
      <x:c r="B106" s="75" t="n">
        <x:v>46263</x:v>
      </x:c>
      <x:c r="C106" s="71" t="str">
        <x:v>High</x:v>
      </x:c>
      <x:c r="D106" s="71" t="str">
        <x:v>FG-011</x:v>
      </x:c>
      <x:c r="E106" s="71" t="str">
        <x:v>RM-005</x:v>
      </x:c>
      <x:c r="F106" s="71" t="str">
        <x:v>Packaging 005</x:v>
      </x:c>
      <x:c r="G106" s="76" t="n">
        <x:v>100</x:v>
      </x:c>
      <x:c r="H106" s="76" t="n">
        <x:v>66.99</x:v>
      </x:c>
      <x:c r="I106" s="76" t="n">
        <x:f>G106*H106</x:f>
        <x:v>6698.999999999999</x:v>
      </x:c>
      <x:c r="J106" s="76" t="n">
        <x:f>IFERROR(INDEX('Inventory'!$E$2:$E$71,MATCH(E106,'Inventory'!$A$2:$A$71,0)),0)</x:f>
        <x:v>8699</x:v>
      </x:c>
      <x:c r="K106" s="76" t="n">
        <x:f>IFERROR(INDEX('Inventory'!$F$2:$F$71,MATCH(E106,'Inventory'!$A$2:$A$71,0)),0)</x:f>
        <x:v>1174</x:v>
      </x:c>
      <x:c r="L106" s="76" t="n">
        <x:f>SUMIFS('Open_POs'!$D$2:$D$26,'Open_POs'!$B$2:$B$26,E106,'Open_POs'!$E$2:$E$26,"&lt;="&amp;B106)</x:f>
        <x:v>0</x:v>
      </x:c>
      <x:c r="M106" s="76" t="n">
        <x:f>J106+L106</x:f>
        <x:v>8699</x:v>
      </x:c>
      <x:c r="N106" s="76" t="n">
        <x:f>SUMIFS($I$2:I106,$E$2:E106,E106)</x:f>
        <x:v>12464.699999999999</x:v>
      </x:c>
      <x:c r="O106" s="76" t="n">
        <x:f>M106-N106</x:f>
        <x:v>-3765.699999999999</x:v>
      </x:c>
      <x:c r="P106" s="71" t="str">
        <x:f>IF(O106&lt;0,"SHORT",IF(O106&lt;K106,"BELOW TARGET","COVERED"))</x:f>
        <x:v>SHORT</x:v>
      </x:c>
      <x:c r="Q106" s="63" t="n">
        <x:f>IF(AND(P106="SHORT",COUNTIFS($E$2:E106,E106,$P$2:P106,"SHORT")=1),B106,"")</x:f>
        <x:v>46263</x:v>
      </x:c>
    </x:row>
    <x:row r="107" ht="15" customHeight="1">
      <x:c r="A107" s="71" t="str">
        <x:v>SO-26022</x:v>
      </x:c>
      <x:c r="B107" s="75" t="n">
        <x:v>46263</x:v>
      </x:c>
      <x:c r="C107" s="71" t="str">
        <x:v>High</x:v>
      </x:c>
      <x:c r="D107" s="71" t="str">
        <x:v>FG-011</x:v>
      </x:c>
      <x:c r="E107" s="71" t="str">
        <x:v>RM-008</x:v>
      </x:c>
      <x:c r="F107" s="71" t="str">
        <x:v>Filler 008</x:v>
      </x:c>
      <x:c r="G107" s="76" t="n">
        <x:v>100</x:v>
      </x:c>
      <x:c r="H107" s="76" t="n">
        <x:v>39.55</x:v>
      </x:c>
      <x:c r="I107" s="76" t="n">
        <x:f>G107*H107</x:f>
        <x:v>3954.9999999999995</x:v>
      </x:c>
      <x:c r="J107" s="76" t="n">
        <x:f>IFERROR(INDEX('Inventory'!$E$2:$E$71,MATCH(E107,'Inventory'!$A$2:$A$71,0)),0)</x:f>
        <x:v>430</x:v>
      </x:c>
      <x:c r="K107" s="76" t="n">
        <x:f>IFERROR(INDEX('Inventory'!$F$2:$F$71,MATCH(E107,'Inventory'!$A$2:$A$71,0)),0)</x:f>
        <x:v>1037</x:v>
      </x:c>
      <x:c r="L107" s="76" t="n">
        <x:f>SUMIFS('Open_POs'!$D$2:$D$26,'Open_POs'!$B$2:$B$26,E107,'Open_POs'!$E$2:$E$26,"&lt;="&amp;B107)</x:f>
        <x:v>0</x:v>
      </x:c>
      <x:c r="M107" s="76" t="n">
        <x:f>J107+L107</x:f>
        <x:v>430</x:v>
      </x:c>
      <x:c r="N107" s="76" t="n">
        <x:f>SUMIFS($I$2:I107,$E$2:E107,E107)</x:f>
        <x:v>8165.5</x:v>
      </x:c>
      <x:c r="O107" s="76" t="n">
        <x:f>M107-N107</x:f>
        <x:v>-7735.5</x:v>
      </x:c>
      <x:c r="P107" s="71" t="str">
        <x:f>IF(O107&lt;0,"SHORT",IF(O107&lt;K107,"BELOW TARGET","COVERED"))</x:f>
        <x:v>SHORT</x:v>
      </x:c>
      <x:c r="Q107" s="63" t="str">
        <x:f>IF(AND(P107="SHORT",COUNTIFS($E$2:E107,E107,$P$2:P107,"SHORT")=1),B107,"")</x:f>
      </x:c>
    </x:row>
    <x:row r="108" ht="15" customHeight="1">
      <x:c r="A108" s="71" t="str">
        <x:v>SO-26022</x:v>
      </x:c>
      <x:c r="B108" s="75" t="n">
        <x:v>46263</x:v>
      </x:c>
      <x:c r="C108" s="71" t="str">
        <x:v>High</x:v>
      </x:c>
      <x:c r="D108" s="71" t="str">
        <x:v>FG-011</x:v>
      </x:c>
      <x:c r="E108" s="71" t="str">
        <x:v>RM-010</x:v>
      </x:c>
      <x:c r="F108" s="71" t="str">
        <x:v>Packaging 010</x:v>
      </x:c>
      <x:c r="G108" s="76" t="n">
        <x:v>100</x:v>
      </x:c>
      <x:c r="H108" s="76" t="n">
        <x:v>104.73</x:v>
      </x:c>
      <x:c r="I108" s="76" t="n">
        <x:f>G108*H108</x:f>
        <x:v>10473</x:v>
      </x:c>
      <x:c r="J108" s="76" t="n">
        <x:f>IFERROR(INDEX('Inventory'!$E$2:$E$71,MATCH(E108,'Inventory'!$A$2:$A$71,0)),0)</x:f>
        <x:v>14191</x:v>
      </x:c>
      <x:c r="K108" s="76" t="n">
        <x:f>IFERROR(INDEX('Inventory'!$F$2:$F$71,MATCH(E108,'Inventory'!$A$2:$A$71,0)),0)</x:f>
        <x:v>615</x:v>
      </x:c>
      <x:c r="L108" s="76" t="n">
        <x:f>SUMIFS('Open_POs'!$D$2:$D$26,'Open_POs'!$B$2:$B$26,E108,'Open_POs'!$E$2:$E$26,"&lt;="&amp;B108)</x:f>
        <x:v>0</x:v>
      </x:c>
      <x:c r="M108" s="76" t="n">
        <x:f>J108+L108</x:f>
        <x:v>14191</x:v>
      </x:c>
      <x:c r="N108" s="76" t="n">
        <x:f>SUMIFS($I$2:I108,$E$2:E108,E108)</x:f>
        <x:v>21311.4</x:v>
      </x:c>
      <x:c r="O108" s="76" t="n">
        <x:f>M108-N108</x:f>
        <x:v>-7120.4000000000015</x:v>
      </x:c>
      <x:c r="P108" s="71" t="str">
        <x:f>IF(O108&lt;0,"SHORT",IF(O108&lt;K108,"BELOW TARGET","COVERED"))</x:f>
        <x:v>SHORT</x:v>
      </x:c>
      <x:c r="Q108" s="63" t="n">
        <x:f>IF(AND(P108="SHORT",COUNTIFS($E$2:E108,E108,$P$2:P108,"SHORT")=1),B108,"")</x:f>
        <x:v>46263</x:v>
      </x:c>
    </x:row>
    <x:row r="109" ht="15" customHeight="1">
      <x:c r="A109" s="71" t="str">
        <x:v>SO-26022</x:v>
      </x:c>
      <x:c r="B109" s="75" t="n">
        <x:v>46263</x:v>
      </x:c>
      <x:c r="C109" s="71" t="str">
        <x:v>High</x:v>
      </x:c>
      <x:c r="D109" s="71" t="str">
        <x:v>FG-011</x:v>
      </x:c>
      <x:c r="E109" s="71" t="str">
        <x:v>RM-019</x:v>
      </x:c>
      <x:c r="F109" s="71" t="str">
        <x:v>Additive 019</x:v>
      </x:c>
      <x:c r="G109" s="76" t="n">
        <x:v>100</x:v>
      </x:c>
      <x:c r="H109" s="76" t="n">
        <x:v>13.26</x:v>
      </x:c>
      <x:c r="I109" s="76" t="n">
        <x:f>G109*H109</x:f>
        <x:v>1326</x:v>
      </x:c>
      <x:c r="J109" s="76" t="n">
        <x:f>IFERROR(INDEX('Inventory'!$E$2:$E$71,MATCH(E109,'Inventory'!$A$2:$A$71,0)),0)</x:f>
        <x:v>6552</x:v>
      </x:c>
      <x:c r="K109" s="76" t="n">
        <x:f>IFERROR(INDEX('Inventory'!$F$2:$F$71,MATCH(E109,'Inventory'!$A$2:$A$71,0)),0)</x:f>
        <x:v>1079</x:v>
      </x:c>
      <x:c r="L109" s="76" t="n">
        <x:f>SUMIFS('Open_POs'!$D$2:$D$26,'Open_POs'!$B$2:$B$26,E109,'Open_POs'!$E$2:$E$26,"&lt;="&amp;B109)</x:f>
        <x:v>0</x:v>
      </x:c>
      <x:c r="M109" s="76" t="n">
        <x:f>J109+L109</x:f>
        <x:v>6552</x:v>
      </x:c>
      <x:c r="N109" s="76" t="n">
        <x:f>SUMIFS($I$2:I109,$E$2:E109,E109)</x:f>
        <x:v>2121.6</x:v>
      </x:c>
      <x:c r="O109" s="76" t="n">
        <x:f>M109-N109</x:f>
        <x:v>4430.4</x:v>
      </x:c>
      <x:c r="P109" s="71" t="str">
        <x:f>IF(O109&lt;0,"SHORT",IF(O109&lt;K109,"BELOW TARGET","COVERED"))</x:f>
        <x:v>COVERED</x:v>
      </x:c>
      <x:c r="Q109" s="63" t="str">
        <x:f>IF(AND(P109="SHORT",COUNTIFS($E$2:E109,E109,$P$2:P109,"SHORT")=1),B109,"")</x:f>
      </x:c>
    </x:row>
    <x:row r="110" ht="15" customHeight="1">
      <x:c r="A110" s="71" t="str">
        <x:v>SO-26022</x:v>
      </x:c>
      <x:c r="B110" s="75" t="n">
        <x:v>46263</x:v>
      </x:c>
      <x:c r="C110" s="71" t="str">
        <x:v>High</x:v>
      </x:c>
      <x:c r="D110" s="71" t="str">
        <x:v>FG-011</x:v>
      </x:c>
      <x:c r="E110" s="71" t="str">
        <x:v>RM-031</x:v>
      </x:c>
      <x:c r="F110" s="71" t="str">
        <x:v>Resin 031</x:v>
      </x:c>
      <x:c r="G110" s="76" t="n">
        <x:v>100</x:v>
      </x:c>
      <x:c r="H110" s="76" t="n">
        <x:v>21.51</x:v>
      </x:c>
      <x:c r="I110" s="76" t="n">
        <x:f>G110*H110</x:f>
        <x:v>2151</x:v>
      </x:c>
      <x:c r="J110" s="76" t="n">
        <x:f>IFERROR(INDEX('Inventory'!$E$2:$E$71,MATCH(E110,'Inventory'!$A$2:$A$71,0)),0)</x:f>
        <x:v>6087</x:v>
      </x:c>
      <x:c r="K110" s="76" t="n">
        <x:f>IFERROR(INDEX('Inventory'!$F$2:$F$71,MATCH(E110,'Inventory'!$A$2:$A$71,0)),0)</x:f>
        <x:v>714</x:v>
      </x:c>
      <x:c r="L110" s="76" t="n">
        <x:f>SUMIFS('Open_POs'!$D$2:$D$26,'Open_POs'!$B$2:$B$26,E110,'Open_POs'!$E$2:$E$26,"&lt;="&amp;B110)</x:f>
        <x:v>0</x:v>
      </x:c>
      <x:c r="M110" s="76" t="n">
        <x:f>J110+L110</x:f>
        <x:v>6087</x:v>
      </x:c>
      <x:c r="N110" s="76" t="n">
        <x:f>SUMIFS($I$2:I110,$E$2:E110,E110)</x:f>
        <x:v>5595.6</x:v>
      </x:c>
      <x:c r="O110" s="76" t="n">
        <x:f>M110-N110</x:f>
        <x:v>491.39999999999964</x:v>
      </x:c>
      <x:c r="P110" s="71" t="str">
        <x:f>IF(O110&lt;0,"SHORT",IF(O110&lt;K110,"BELOW TARGET","COVERED"))</x:f>
        <x:v>BELOW TARGET</x:v>
      </x:c>
      <x:c r="Q110" s="63" t="str">
        <x:f>IF(AND(P110="SHORT",COUNTIFS($E$2:E110,E110,$P$2:P110,"SHORT")=1),B110,"")</x:f>
      </x:c>
    </x:row>
    <x:row r="111" ht="15" customHeight="1">
      <x:c r="A111" s="71" t="str">
        <x:v>SO-26022</x:v>
      </x:c>
      <x:c r="B111" s="75" t="n">
        <x:v>46263</x:v>
      </x:c>
      <x:c r="C111" s="71" t="str">
        <x:v>High</x:v>
      </x:c>
      <x:c r="D111" s="71" t="str">
        <x:v>FG-011</x:v>
      </x:c>
      <x:c r="E111" s="71" t="str">
        <x:v>RM-032</x:v>
      </x:c>
      <x:c r="F111" s="71" t="str">
        <x:v>Pigment 032</x:v>
      </x:c>
      <x:c r="G111" s="76" t="n">
        <x:v>100</x:v>
      </x:c>
      <x:c r="H111" s="76" t="n">
        <x:v>119.29</x:v>
      </x:c>
      <x:c r="I111" s="76" t="n">
        <x:f>G111*H111</x:f>
        <x:v>11929</x:v>
      </x:c>
      <x:c r="J111" s="76" t="n">
        <x:f>IFERROR(INDEX('Inventory'!$E$2:$E$71,MATCH(E111,'Inventory'!$A$2:$A$71,0)),0)</x:f>
        <x:v>674</x:v>
      </x:c>
      <x:c r="K111" s="76" t="n">
        <x:f>IFERROR(INDEX('Inventory'!$F$2:$F$71,MATCH(E111,'Inventory'!$A$2:$A$71,0)),0)</x:f>
        <x:v>1056</x:v>
      </x:c>
      <x:c r="L111" s="76" t="n">
        <x:f>SUMIFS('Open_POs'!$D$2:$D$26,'Open_POs'!$B$2:$B$26,E111,'Open_POs'!$E$2:$E$26,"&lt;="&amp;B111)</x:f>
        <x:v>0</x:v>
      </x:c>
      <x:c r="M111" s="76" t="n">
        <x:f>J111+L111</x:f>
        <x:v>674</x:v>
      </x:c>
      <x:c r="N111" s="76" t="n">
        <x:f>SUMIFS($I$2:I111,$E$2:E111,E111)</x:f>
        <x:v>30766.4</x:v>
      </x:c>
      <x:c r="O111" s="76" t="n">
        <x:f>M111-N111</x:f>
        <x:v>-30092.4</x:v>
      </x:c>
      <x:c r="P111" s="71" t="str">
        <x:f>IF(O111&lt;0,"SHORT",IF(O111&lt;K111,"BELOW TARGET","COVERED"))</x:f>
        <x:v>SHORT</x:v>
      </x:c>
      <x:c r="Q111" s="63" t="str">
        <x:f>IF(AND(P111="SHORT",COUNTIFS($E$2:E111,E111,$P$2:P111,"SHORT")=1),B111,"")</x:f>
      </x:c>
    </x:row>
    <x:row r="112" ht="15" customHeight="1">
      <x:c r="A112" s="71" t="str">
        <x:v>SO-26022</x:v>
      </x:c>
      <x:c r="B112" s="75" t="n">
        <x:v>46263</x:v>
      </x:c>
      <x:c r="C112" s="71" t="str">
        <x:v>High</x:v>
      </x:c>
      <x:c r="D112" s="71" t="str">
        <x:v>FG-011</x:v>
      </x:c>
      <x:c r="E112" s="71" t="str">
        <x:v>RM-036</x:v>
      </x:c>
      <x:c r="F112" s="71" t="str">
        <x:v>Resin 036</x:v>
      </x:c>
      <x:c r="G112" s="76" t="n">
        <x:v>100</x:v>
      </x:c>
      <x:c r="H112" s="76" t="n">
        <x:v>52.72</x:v>
      </x:c>
      <x:c r="I112" s="76" t="n">
        <x:f>G112*H112</x:f>
        <x:v>5272</x:v>
      </x:c>
      <x:c r="J112" s="76" t="n">
        <x:f>IFERROR(INDEX('Inventory'!$E$2:$E$71,MATCH(E112,'Inventory'!$A$2:$A$71,0)),0)</x:f>
        <x:v>12427</x:v>
      </x:c>
      <x:c r="K112" s="76" t="n">
        <x:f>IFERROR(INDEX('Inventory'!$F$2:$F$71,MATCH(E112,'Inventory'!$A$2:$A$71,0)),0)</x:f>
        <x:v>1016</x:v>
      </x:c>
      <x:c r="L112" s="76" t="n">
        <x:f>SUMIFS('Open_POs'!$D$2:$D$26,'Open_POs'!$B$2:$B$26,E112,'Open_POs'!$E$2:$E$26,"&lt;="&amp;B112)</x:f>
        <x:v>1000</x:v>
      </x:c>
      <x:c r="M112" s="76" t="n">
        <x:f>J112+L112</x:f>
        <x:v>13427</x:v>
      </x:c>
      <x:c r="N112" s="76" t="n">
        <x:f>SUMIFS($I$2:I112,$E$2:E112,E112)</x:f>
        <x:v>8814.7</x:v>
      </x:c>
      <x:c r="O112" s="76" t="n">
        <x:f>M112-N112</x:f>
        <x:v>4612.299999999999</x:v>
      </x:c>
      <x:c r="P112" s="71" t="str">
        <x:f>IF(O112&lt;0,"SHORT",IF(O112&lt;K112,"BELOW TARGET","COVERED"))</x:f>
        <x:v>COVERED</x:v>
      </x:c>
      <x:c r="Q112" s="63" t="str">
        <x:f>IF(AND(P112="SHORT",COUNTIFS($E$2:E112,E112,$P$2:P112,"SHORT")=1),B112,"")</x:f>
      </x:c>
    </x:row>
    <x:row r="113" ht="15" customHeight="1">
      <x:c r="A113" s="71" t="str">
        <x:v>SO-26022</x:v>
      </x:c>
      <x:c r="B113" s="75" t="n">
        <x:v>46263</x:v>
      </x:c>
      <x:c r="C113" s="71" t="str">
        <x:v>High</x:v>
      </x:c>
      <x:c r="D113" s="71" t="str">
        <x:v>FG-011</x:v>
      </x:c>
      <x:c r="E113" s="71" t="str">
        <x:v>RM-058</x:v>
      </x:c>
      <x:c r="F113" s="71" t="str">
        <x:v>Filler 058</x:v>
      </x:c>
      <x:c r="G113" s="76" t="n">
        <x:v>100</x:v>
      </x:c>
      <x:c r="H113" s="76" t="n">
        <x:v>26.63</x:v>
      </x:c>
      <x:c r="I113" s="76" t="n">
        <x:f>G113*H113</x:f>
        <x:v>2663</x:v>
      </x:c>
      <x:c r="J113" s="76" t="n">
        <x:f>IFERROR(INDEX('Inventory'!$E$2:$E$71,MATCH(E113,'Inventory'!$A$2:$A$71,0)),0)</x:f>
        <x:v>9929</x:v>
      </x:c>
      <x:c r="K113" s="76" t="n">
        <x:f>IFERROR(INDEX('Inventory'!$F$2:$F$71,MATCH(E113,'Inventory'!$A$2:$A$71,0)),0)</x:f>
        <x:v>701</x:v>
      </x:c>
      <x:c r="L113" s="76" t="n">
        <x:f>SUMIFS('Open_POs'!$D$2:$D$26,'Open_POs'!$B$2:$B$26,E113,'Open_POs'!$E$2:$E$26,"&lt;="&amp;B113)</x:f>
        <x:v>0</x:v>
      </x:c>
      <x:c r="M113" s="76" t="n">
        <x:f>J113+L113</x:f>
        <x:v>9929</x:v>
      </x:c>
      <x:c r="N113" s="76" t="n">
        <x:f>SUMIFS($I$2:I113,$E$2:E113,E113)</x:f>
        <x:v>12320.599999999999</x:v>
      </x:c>
      <x:c r="O113" s="76" t="n">
        <x:f>M113-N113</x:f>
        <x:v>-2391.5999999999985</x:v>
      </x:c>
      <x:c r="P113" s="71" t="str">
        <x:f>IF(O113&lt;0,"SHORT",IF(O113&lt;K113,"BELOW TARGET","COVERED"))</x:f>
        <x:v>SHORT</x:v>
      </x:c>
      <x:c r="Q113" s="63" t="n">
        <x:f>IF(AND(P113="SHORT",COUNTIFS($E$2:E113,E113,$P$2:P113,"SHORT")=1),B113,"")</x:f>
        <x:v>46263</x:v>
      </x:c>
    </x:row>
    <x:row r="114" ht="15" customHeight="1">
      <x:c r="A114" s="71" t="str">
        <x:v>SO-26079</x:v>
      </x:c>
      <x:c r="B114" s="75" t="n">
        <x:v>46263</x:v>
      </x:c>
      <x:c r="C114" s="71" t="str">
        <x:v>High</x:v>
      </x:c>
      <x:c r="D114" s="71" t="str">
        <x:v>FG-014</x:v>
      </x:c>
      <x:c r="E114" s="71" t="str">
        <x:v>RM-005</x:v>
      </x:c>
      <x:c r="F114" s="71" t="str">
        <x:v>Packaging 005</x:v>
      </x:c>
      <x:c r="G114" s="76" t="n">
        <x:v>30</x:v>
      </x:c>
      <x:c r="H114" s="76" t="n">
        <x:v>58.21</x:v>
      </x:c>
      <x:c r="I114" s="76" t="n">
        <x:f>G114*H114</x:f>
        <x:v>1746.3</x:v>
      </x:c>
      <x:c r="J114" s="76" t="n">
        <x:f>IFERROR(INDEX('Inventory'!$E$2:$E$71,MATCH(E114,'Inventory'!$A$2:$A$71,0)),0)</x:f>
        <x:v>8699</x:v>
      </x:c>
      <x:c r="K114" s="76" t="n">
        <x:f>IFERROR(INDEX('Inventory'!$F$2:$F$71,MATCH(E114,'Inventory'!$A$2:$A$71,0)),0)</x:f>
        <x:v>1174</x:v>
      </x:c>
      <x:c r="L114" s="76" t="n">
        <x:f>SUMIFS('Open_POs'!$D$2:$D$26,'Open_POs'!$B$2:$B$26,E114,'Open_POs'!$E$2:$E$26,"&lt;="&amp;B114)</x:f>
        <x:v>0</x:v>
      </x:c>
      <x:c r="M114" s="76" t="n">
        <x:f>J114+L114</x:f>
        <x:v>8699</x:v>
      </x:c>
      <x:c r="N114" s="76" t="n">
        <x:f>SUMIFS($I$2:I114,$E$2:E114,E114)</x:f>
        <x:v>14210.999999999998</x:v>
      </x:c>
      <x:c r="O114" s="76" t="n">
        <x:f>M114-N114</x:f>
        <x:v>-5511.999999999998</x:v>
      </x:c>
      <x:c r="P114" s="71" t="str">
        <x:f>IF(O114&lt;0,"SHORT",IF(O114&lt;K114,"BELOW TARGET","COVERED"))</x:f>
        <x:v>SHORT</x:v>
      </x:c>
      <x:c r="Q114" s="63" t="str">
        <x:f>IF(AND(P114="SHORT",COUNTIFS($E$2:E114,E114,$P$2:P114,"SHORT")=1),B114,"")</x:f>
      </x:c>
    </x:row>
    <x:row r="115" ht="15" customHeight="1">
      <x:c r="A115" s="71" t="str">
        <x:v>SO-26079</x:v>
      </x:c>
      <x:c r="B115" s="75" t="n">
        <x:v>46263</x:v>
      </x:c>
      <x:c r="C115" s="71" t="str">
        <x:v>High</x:v>
      </x:c>
      <x:c r="D115" s="71" t="str">
        <x:v>FG-014</x:v>
      </x:c>
      <x:c r="E115" s="71" t="str">
        <x:v>RM-018</x:v>
      </x:c>
      <x:c r="F115" s="71" t="str">
        <x:v>Filler 018</x:v>
      </x:c>
      <x:c r="G115" s="76" t="n">
        <x:v>30</x:v>
      </x:c>
      <x:c r="H115" s="76" t="n">
        <x:v>24.18</x:v>
      </x:c>
      <x:c r="I115" s="76" t="n">
        <x:f>G115*H115</x:f>
        <x:v>725.4</x:v>
      </x:c>
      <x:c r="J115" s="76" t="n">
        <x:f>IFERROR(INDEX('Inventory'!$E$2:$E$71,MATCH(E115,'Inventory'!$A$2:$A$71,0)),0)</x:f>
        <x:v>17607</x:v>
      </x:c>
      <x:c r="K115" s="76" t="n">
        <x:f>IFERROR(INDEX('Inventory'!$F$2:$F$71,MATCH(E115,'Inventory'!$A$2:$A$71,0)),0)</x:f>
        <x:v>302</x:v>
      </x:c>
      <x:c r="L115" s="76" t="n">
        <x:f>SUMIFS('Open_POs'!$D$2:$D$26,'Open_POs'!$B$2:$B$26,E115,'Open_POs'!$E$2:$E$26,"&lt;="&amp;B115)</x:f>
        <x:v>0</x:v>
      </x:c>
      <x:c r="M115" s="76" t="n">
        <x:f>J115+L115</x:f>
        <x:v>17607</x:v>
      </x:c>
      <x:c r="N115" s="76" t="n">
        <x:f>SUMIFS($I$2:I115,$E$2:E115,E115)</x:f>
        <x:v>5217.799999999999</x:v>
      </x:c>
      <x:c r="O115" s="76" t="n">
        <x:f>M115-N115</x:f>
        <x:v>12389.2</x:v>
      </x:c>
      <x:c r="P115" s="71" t="str">
        <x:f>IF(O115&lt;0,"SHORT",IF(O115&lt;K115,"BELOW TARGET","COVERED"))</x:f>
        <x:v>COVERED</x:v>
      </x:c>
      <x:c r="Q115" s="63" t="str">
        <x:f>IF(AND(P115="SHORT",COUNTIFS($E$2:E115,E115,$P$2:P115,"SHORT")=1),B115,"")</x:f>
      </x:c>
    </x:row>
    <x:row r="116" ht="15" customHeight="1">
      <x:c r="A116" s="71" t="str">
        <x:v>SO-26079</x:v>
      </x:c>
      <x:c r="B116" s="75" t="n">
        <x:v>46263</x:v>
      </x:c>
      <x:c r="C116" s="71" t="str">
        <x:v>High</x:v>
      </x:c>
      <x:c r="D116" s="71" t="str">
        <x:v>FG-014</x:v>
      </x:c>
      <x:c r="E116" s="71" t="str">
        <x:v>RM-031</x:v>
      </x:c>
      <x:c r="F116" s="71" t="str">
        <x:v>Resin 031</x:v>
      </x:c>
      <x:c r="G116" s="76" t="n">
        <x:v>30</x:v>
      </x:c>
      <x:c r="H116" s="76" t="n">
        <x:v>71.8</x:v>
      </x:c>
      <x:c r="I116" s="76" t="n">
        <x:f>G116*H116</x:f>
        <x:v>2154</x:v>
      </x:c>
      <x:c r="J116" s="76" t="n">
        <x:f>IFERROR(INDEX('Inventory'!$E$2:$E$71,MATCH(E116,'Inventory'!$A$2:$A$71,0)),0)</x:f>
        <x:v>6087</x:v>
      </x:c>
      <x:c r="K116" s="76" t="n">
        <x:f>IFERROR(INDEX('Inventory'!$F$2:$F$71,MATCH(E116,'Inventory'!$A$2:$A$71,0)),0)</x:f>
        <x:v>714</x:v>
      </x:c>
      <x:c r="L116" s="76" t="n">
        <x:f>SUMIFS('Open_POs'!$D$2:$D$26,'Open_POs'!$B$2:$B$26,E116,'Open_POs'!$E$2:$E$26,"&lt;="&amp;B116)</x:f>
        <x:v>0</x:v>
      </x:c>
      <x:c r="M116" s="76" t="n">
        <x:f>J116+L116</x:f>
        <x:v>6087</x:v>
      </x:c>
      <x:c r="N116" s="76" t="n">
        <x:f>SUMIFS($I$2:I116,$E$2:E116,E116)</x:f>
        <x:v>7749.6</x:v>
      </x:c>
      <x:c r="O116" s="76" t="n">
        <x:f>M116-N116</x:f>
        <x:v>-1662.6000000000004</x:v>
      </x:c>
      <x:c r="P116" s="71" t="str">
        <x:f>IF(O116&lt;0,"SHORT",IF(O116&lt;K116,"BELOW TARGET","COVERED"))</x:f>
        <x:v>SHORT</x:v>
      </x:c>
      <x:c r="Q116" s="63" t="n">
        <x:f>IF(AND(P116="SHORT",COUNTIFS($E$2:E116,E116,$P$2:P116,"SHORT")=1),B116,"")</x:f>
        <x:v>46263</x:v>
      </x:c>
    </x:row>
    <x:row r="117" ht="15" customHeight="1">
      <x:c r="A117" s="71" t="str">
        <x:v>SO-26079</x:v>
      </x:c>
      <x:c r="B117" s="75" t="n">
        <x:v>46263</x:v>
      </x:c>
      <x:c r="C117" s="71" t="str">
        <x:v>High</x:v>
      </x:c>
      <x:c r="D117" s="71" t="str">
        <x:v>FG-014</x:v>
      </x:c>
      <x:c r="E117" s="71" t="str">
        <x:v>RM-053</x:v>
      </x:c>
      <x:c r="F117" s="71" t="str">
        <x:v>Filler 053</x:v>
      </x:c>
      <x:c r="G117" s="76" t="n">
        <x:v>30</x:v>
      </x:c>
      <x:c r="H117" s="76" t="n">
        <x:v>98.29</x:v>
      </x:c>
      <x:c r="I117" s="76" t="n">
        <x:f>G117*H117</x:f>
        <x:v>2948.7000000000003</x:v>
      </x:c>
      <x:c r="J117" s="76" t="n">
        <x:f>IFERROR(INDEX('Inventory'!$E$2:$E$71,MATCH(E117,'Inventory'!$A$2:$A$71,0)),0)</x:f>
        <x:v>3714</x:v>
      </x:c>
      <x:c r="K117" s="76" t="n">
        <x:f>IFERROR(INDEX('Inventory'!$F$2:$F$71,MATCH(E117,'Inventory'!$A$2:$A$71,0)),0)</x:f>
        <x:v>773</x:v>
      </x:c>
      <x:c r="L117" s="76" t="n">
        <x:f>SUMIFS('Open_POs'!$D$2:$D$26,'Open_POs'!$B$2:$B$26,E117,'Open_POs'!$E$2:$E$26,"&lt;="&amp;B117)</x:f>
        <x:v>0</x:v>
      </x:c>
      <x:c r="M117" s="76" t="n">
        <x:f>J117+L117</x:f>
        <x:v>3714</x:v>
      </x:c>
      <x:c r="N117" s="76" t="n">
        <x:f>SUMIFS($I$2:I117,$E$2:E117,E117)</x:f>
        <x:v>10912.6</x:v>
      </x:c>
      <x:c r="O117" s="76" t="n">
        <x:f>M117-N117</x:f>
        <x:v>-7198.6</x:v>
      </x:c>
      <x:c r="P117" s="71" t="str">
        <x:f>IF(O117&lt;0,"SHORT",IF(O117&lt;K117,"BELOW TARGET","COVERED"))</x:f>
        <x:v>SHORT</x:v>
      </x:c>
      <x:c r="Q117" s="63" t="str">
        <x:f>IF(AND(P117="SHORT",COUNTIFS($E$2:E117,E117,$P$2:P117,"SHORT")=1),B117,"")</x:f>
      </x:c>
    </x:row>
    <x:row r="118" ht="15" customHeight="1">
      <x:c r="A118" s="71" t="str">
        <x:v>SO-26079</x:v>
      </x:c>
      <x:c r="B118" s="75" t="n">
        <x:v>46263</x:v>
      </x:c>
      <x:c r="C118" s="71" t="str">
        <x:v>High</x:v>
      </x:c>
      <x:c r="D118" s="71" t="str">
        <x:v>FG-014</x:v>
      </x:c>
      <x:c r="E118" s="71" t="str">
        <x:v>RM-058</x:v>
      </x:c>
      <x:c r="F118" s="71" t="str">
        <x:v>Filler 058</x:v>
      </x:c>
      <x:c r="G118" s="76" t="n">
        <x:v>30</x:v>
      </x:c>
      <x:c r="H118" s="76" t="n">
        <x:v>60.28</x:v>
      </x:c>
      <x:c r="I118" s="76" t="n">
        <x:f>G118*H118</x:f>
        <x:v>1808.4</x:v>
      </x:c>
      <x:c r="J118" s="76" t="n">
        <x:f>IFERROR(INDEX('Inventory'!$E$2:$E$71,MATCH(E118,'Inventory'!$A$2:$A$71,0)),0)</x:f>
        <x:v>9929</x:v>
      </x:c>
      <x:c r="K118" s="76" t="n">
        <x:f>IFERROR(INDEX('Inventory'!$F$2:$F$71,MATCH(E118,'Inventory'!$A$2:$A$71,0)),0)</x:f>
        <x:v>701</x:v>
      </x:c>
      <x:c r="L118" s="76" t="n">
        <x:f>SUMIFS('Open_POs'!$D$2:$D$26,'Open_POs'!$B$2:$B$26,E118,'Open_POs'!$E$2:$E$26,"&lt;="&amp;B118)</x:f>
        <x:v>0</x:v>
      </x:c>
      <x:c r="M118" s="76" t="n">
        <x:f>J118+L118</x:f>
        <x:v>9929</x:v>
      </x:c>
      <x:c r="N118" s="76" t="n">
        <x:f>SUMIFS($I$2:I118,$E$2:E118,E118)</x:f>
        <x:v>14128.999999999998</x:v>
      </x:c>
      <x:c r="O118" s="76" t="n">
        <x:f>M118-N118</x:f>
        <x:v>-4199.999999999998</x:v>
      </x:c>
      <x:c r="P118" s="71" t="str">
        <x:f>IF(O118&lt;0,"SHORT",IF(O118&lt;K118,"BELOW TARGET","COVERED"))</x:f>
        <x:v>SHORT</x:v>
      </x:c>
      <x:c r="Q118" s="63" t="str">
        <x:f>IF(AND(P118="SHORT",COUNTIFS($E$2:E118,E118,$P$2:P118,"SHORT")=1),B118,"")</x:f>
      </x:c>
    </x:row>
    <x:row r="119" ht="15" customHeight="1">
      <x:c r="A119" s="71" t="str">
        <x:v>SO-26079</x:v>
      </x:c>
      <x:c r="B119" s="75" t="n">
        <x:v>46263</x:v>
      </x:c>
      <x:c r="C119" s="71" t="str">
        <x:v>High</x:v>
      </x:c>
      <x:c r="D119" s="71" t="str">
        <x:v>FG-014</x:v>
      </x:c>
      <x:c r="E119" s="71" t="str">
        <x:v>RM-063</x:v>
      </x:c>
      <x:c r="F119" s="71" t="str">
        <x:v>Filler 063</x:v>
      </x:c>
      <x:c r="G119" s="76" t="n">
        <x:v>30</x:v>
      </x:c>
      <x:c r="H119" s="76" t="n">
        <x:v>113.92</x:v>
      </x:c>
      <x:c r="I119" s="76" t="n">
        <x:f>G119*H119</x:f>
        <x:v>3417.6</x:v>
      </x:c>
      <x:c r="J119" s="76" t="n">
        <x:f>IFERROR(INDEX('Inventory'!$E$2:$E$71,MATCH(E119,'Inventory'!$A$2:$A$71,0)),0)</x:f>
        <x:v>7508</x:v>
      </x:c>
      <x:c r="K119" s="76" t="n">
        <x:f>IFERROR(INDEX('Inventory'!$F$2:$F$71,MATCH(E119,'Inventory'!$A$2:$A$71,0)),0)</x:f>
        <x:v>1090</x:v>
      </x:c>
      <x:c r="L119" s="76" t="n">
        <x:f>SUMIFS('Open_POs'!$D$2:$D$26,'Open_POs'!$B$2:$B$26,E119,'Open_POs'!$E$2:$E$26,"&lt;="&amp;B119)</x:f>
        <x:v>5000</x:v>
      </x:c>
      <x:c r="M119" s="76" t="n">
        <x:f>J119+L119</x:f>
        <x:v>12508</x:v>
      </x:c>
      <x:c r="N119" s="76" t="n">
        <x:f>SUMIFS($I$2:I119,$E$2:E119,E119)</x:f>
        <x:v>24506.6</x:v>
      </x:c>
      <x:c r="O119" s="76" t="n">
        <x:f>M119-N119</x:f>
        <x:v>-11998.599999999999</x:v>
      </x:c>
      <x:c r="P119" s="71" t="str">
        <x:f>IF(O119&lt;0,"SHORT",IF(O119&lt;K119,"BELOW TARGET","COVERED"))</x:f>
        <x:v>SHORT</x:v>
      </x:c>
      <x:c r="Q119" s="63" t="str">
        <x:f>IF(AND(P119="SHORT",COUNTIFS($E$2:E119,E119,$P$2:P119,"SHORT")=1),B119,"")</x:f>
      </x:c>
    </x:row>
    <x:row r="120" ht="15" customHeight="1">
      <x:c r="A120" s="71" t="str">
        <x:v>SO-26079</x:v>
      </x:c>
      <x:c r="B120" s="75" t="n">
        <x:v>46263</x:v>
      </x:c>
      <x:c r="C120" s="71" t="str">
        <x:v>High</x:v>
      </x:c>
      <x:c r="D120" s="71" t="str">
        <x:v>FG-014</x:v>
      </x:c>
      <x:c r="E120" s="71" t="str">
        <x:v>RM-069</x:v>
      </x:c>
      <x:c r="F120" s="71" t="str">
        <x:v>Additive 069</x:v>
      </x:c>
      <x:c r="G120" s="76" t="n">
        <x:v>30</x:v>
      </x:c>
      <x:c r="H120" s="76" t="n">
        <x:v>37.77</x:v>
      </x:c>
      <x:c r="I120" s="76" t="n">
        <x:f>G120*H120</x:f>
        <x:v>1133.1000000000001</x:v>
      </x:c>
      <x:c r="J120" s="76" t="n">
        <x:f>IFERROR(INDEX('Inventory'!$E$2:$E$71,MATCH(E120,'Inventory'!$A$2:$A$71,0)),0)</x:f>
        <x:v>2870</x:v>
      </x:c>
      <x:c r="K120" s="76" t="n">
        <x:f>IFERROR(INDEX('Inventory'!$F$2:$F$71,MATCH(E120,'Inventory'!$A$2:$A$71,0)),0)</x:f>
        <x:v>986</x:v>
      </x:c>
      <x:c r="L120" s="76" t="n">
        <x:f>SUMIFS('Open_POs'!$D$2:$D$26,'Open_POs'!$B$2:$B$26,E120,'Open_POs'!$E$2:$E$26,"&lt;="&amp;B120)</x:f>
        <x:v>0</x:v>
      </x:c>
      <x:c r="M120" s="76" t="n">
        <x:f>J120+L120</x:f>
        <x:v>2870</x:v>
      </x:c>
      <x:c r="N120" s="76" t="n">
        <x:f>SUMIFS($I$2:I120,$E$2:E120,E120)</x:f>
        <x:v>2266.2000000000003</x:v>
      </x:c>
      <x:c r="O120" s="76" t="n">
        <x:f>M120-N120</x:f>
        <x:v>603.7999999999997</x:v>
      </x:c>
      <x:c r="P120" s="71" t="str">
        <x:f>IF(O120&lt;0,"SHORT",IF(O120&lt;K120,"BELOW TARGET","COVERED"))</x:f>
        <x:v>BELOW TARGET</x:v>
      </x:c>
      <x:c r="Q120" s="63" t="str">
        <x:f>IF(AND(P120="SHORT",COUNTIFS($E$2:E120,E120,$P$2:P120,"SHORT")=1),B120,"")</x:f>
      </x:c>
    </x:row>
    <x:row r="121" ht="15" customHeight="1">
      <x:c r="A121" s="71" t="str">
        <x:v>SO-26079</x:v>
      </x:c>
      <x:c r="B121" s="75" t="n">
        <x:v>46263</x:v>
      </x:c>
      <x:c r="C121" s="71" t="str">
        <x:v>High</x:v>
      </x:c>
      <x:c r="D121" s="71" t="str">
        <x:v>FG-014</x:v>
      </x:c>
      <x:c r="E121" s="71" t="str">
        <x:v>RM-070</x:v>
      </x:c>
      <x:c r="F121" s="71" t="str">
        <x:v>Packaging 070</x:v>
      </x:c>
      <x:c r="G121" s="76" t="n">
        <x:v>30</x:v>
      </x:c>
      <x:c r="H121" s="76" t="n">
        <x:v>96.1</x:v>
      </x:c>
      <x:c r="I121" s="76" t="n">
        <x:f>G121*H121</x:f>
        <x:v>2883</x:v>
      </x:c>
      <x:c r="J121" s="76" t="n">
        <x:f>IFERROR(INDEX('Inventory'!$E$2:$E$71,MATCH(E121,'Inventory'!$A$2:$A$71,0)),0)</x:f>
        <x:v>5189</x:v>
      </x:c>
      <x:c r="K121" s="76" t="n">
        <x:f>IFERROR(INDEX('Inventory'!$F$2:$F$71,MATCH(E121,'Inventory'!$A$2:$A$71,0)),0)</x:f>
        <x:v>587</x:v>
      </x:c>
      <x:c r="L121" s="76" t="n">
        <x:f>SUMIFS('Open_POs'!$D$2:$D$26,'Open_POs'!$B$2:$B$26,E121,'Open_POs'!$E$2:$E$26,"&lt;="&amp;B121)</x:f>
        <x:v>0</x:v>
      </x:c>
      <x:c r="M121" s="76" t="n">
        <x:f>J121+L121</x:f>
        <x:v>5189</x:v>
      </x:c>
      <x:c r="N121" s="76" t="n">
        <x:f>SUMIFS($I$2:I121,$E$2:E121,E121)</x:f>
        <x:v>5766</x:v>
      </x:c>
      <x:c r="O121" s="76" t="n">
        <x:f>M121-N121</x:f>
        <x:v>-577</x:v>
      </x:c>
      <x:c r="P121" s="71" t="str">
        <x:f>IF(O121&lt;0,"SHORT",IF(O121&lt;K121,"BELOW TARGET","COVERED"))</x:f>
        <x:v>SHORT</x:v>
      </x:c>
      <x:c r="Q121" s="63" t="n">
        <x:f>IF(AND(P121="SHORT",COUNTIFS($E$2:E121,E121,$P$2:P121,"SHORT")=1),B121,"")</x:f>
        <x:v>46263</x:v>
      </x:c>
    </x:row>
    <x:row r="122" ht="15" customHeight="1">
      <x:c r="A122" s="71" t="str">
        <x:v>SO-26014</x:v>
      </x:c>
      <x:c r="B122" s="75" t="n">
        <x:v>46264</x:v>
      </x:c>
      <x:c r="C122" s="71" t="str">
        <x:v>Normal</x:v>
      </x:c>
      <x:c r="D122" s="71" t="str">
        <x:v>FG-001</x:v>
      </x:c>
      <x:c r="E122" s="71" t="str">
        <x:v>RM-008</x:v>
      </x:c>
      <x:c r="F122" s="71" t="str">
        <x:v>Filler 008</x:v>
      </x:c>
      <x:c r="G122" s="76" t="n">
        <x:v>80</x:v>
      </x:c>
      <x:c r="H122" s="76" t="n">
        <x:v>50.81</x:v>
      </x:c>
      <x:c r="I122" s="76" t="n">
        <x:f>G122*H122</x:f>
        <x:v>4064.8</x:v>
      </x:c>
      <x:c r="J122" s="76" t="n">
        <x:f>IFERROR(INDEX('Inventory'!$E$2:$E$71,MATCH(E122,'Inventory'!$A$2:$A$71,0)),0)</x:f>
        <x:v>430</x:v>
      </x:c>
      <x:c r="K122" s="76" t="n">
        <x:f>IFERROR(INDEX('Inventory'!$F$2:$F$71,MATCH(E122,'Inventory'!$A$2:$A$71,0)),0)</x:f>
        <x:v>1037</x:v>
      </x:c>
      <x:c r="L122" s="76" t="n">
        <x:f>SUMIFS('Open_POs'!$D$2:$D$26,'Open_POs'!$B$2:$B$26,E122,'Open_POs'!$E$2:$E$26,"&lt;="&amp;B122)</x:f>
        <x:v>0</x:v>
      </x:c>
      <x:c r="M122" s="76" t="n">
        <x:f>J122+L122</x:f>
        <x:v>430</x:v>
      </x:c>
      <x:c r="N122" s="76" t="n">
        <x:f>SUMIFS($I$2:I122,$E$2:E122,E122)</x:f>
        <x:v>12230.3</x:v>
      </x:c>
      <x:c r="O122" s="76" t="n">
        <x:f>M122-N122</x:f>
        <x:v>-11800.3</x:v>
      </x:c>
      <x:c r="P122" s="71" t="str">
        <x:f>IF(O122&lt;0,"SHORT",IF(O122&lt;K122,"BELOW TARGET","COVERED"))</x:f>
        <x:v>SHORT</x:v>
      </x:c>
      <x:c r="Q122" s="63" t="str">
        <x:f>IF(AND(P122="SHORT",COUNTIFS($E$2:E122,E122,$P$2:P122,"SHORT")=1),B122,"")</x:f>
      </x:c>
    </x:row>
    <x:row r="123" ht="15" customHeight="1">
      <x:c r="A123" s="71" t="str">
        <x:v>SO-26014</x:v>
      </x:c>
      <x:c r="B123" s="75" t="n">
        <x:v>46264</x:v>
      </x:c>
      <x:c r="C123" s="71" t="str">
        <x:v>Normal</x:v>
      </x:c>
      <x:c r="D123" s="71" t="str">
        <x:v>FG-001</x:v>
      </x:c>
      <x:c r="E123" s="71" t="str">
        <x:v>RM-025</x:v>
      </x:c>
      <x:c r="F123" s="71" t="str">
        <x:v>Packaging 025</x:v>
      </x:c>
      <x:c r="G123" s="76" t="n">
        <x:v>80</x:v>
      </x:c>
      <x:c r="H123" s="76" t="n">
        <x:v>15.13</x:v>
      </x:c>
      <x:c r="I123" s="76" t="n">
        <x:f>G123*H123</x:f>
        <x:v>1210.4</x:v>
      </x:c>
      <x:c r="J123" s="76" t="n">
        <x:f>IFERROR(INDEX('Inventory'!$E$2:$E$71,MATCH(E123,'Inventory'!$A$2:$A$71,0)),0)</x:f>
        <x:v>2469</x:v>
      </x:c>
      <x:c r="K123" s="76" t="n">
        <x:f>IFERROR(INDEX('Inventory'!$F$2:$F$71,MATCH(E123,'Inventory'!$A$2:$A$71,0)),0)</x:f>
        <x:v>229</x:v>
      </x:c>
      <x:c r="L123" s="76" t="n">
        <x:f>SUMIFS('Open_POs'!$D$2:$D$26,'Open_POs'!$B$2:$B$26,E123,'Open_POs'!$E$2:$E$26,"&lt;="&amp;B123)</x:f>
        <x:v>0</x:v>
      </x:c>
      <x:c r="M123" s="76" t="n">
        <x:f>J123+L123</x:f>
        <x:v>2469</x:v>
      </x:c>
      <x:c r="N123" s="76" t="n">
        <x:f>SUMIFS($I$2:I123,$E$2:E123,E123)</x:f>
        <x:v>16008.899999999998</x:v>
      </x:c>
      <x:c r="O123" s="76" t="n">
        <x:f>M123-N123</x:f>
        <x:v>-13539.899999999998</x:v>
      </x:c>
      <x:c r="P123" s="71" t="str">
        <x:f>IF(O123&lt;0,"SHORT",IF(O123&lt;K123,"BELOW TARGET","COVERED"))</x:f>
        <x:v>SHORT</x:v>
      </x:c>
      <x:c r="Q123" s="63" t="str">
        <x:f>IF(AND(P123="SHORT",COUNTIFS($E$2:E123,E123,$P$2:P123,"SHORT")=1),B123,"")</x:f>
      </x:c>
    </x:row>
    <x:row r="124" ht="15" customHeight="1">
      <x:c r="A124" s="71" t="str">
        <x:v>SO-26014</x:v>
      </x:c>
      <x:c r="B124" s="75" t="n">
        <x:v>46264</x:v>
      </x:c>
      <x:c r="C124" s="71" t="str">
        <x:v>Normal</x:v>
      </x:c>
      <x:c r="D124" s="71" t="str">
        <x:v>FG-001</x:v>
      </x:c>
      <x:c r="E124" s="71" t="str">
        <x:v>RM-036</x:v>
      </x:c>
      <x:c r="F124" s="71" t="str">
        <x:v>Resin 036</x:v>
      </x:c>
      <x:c r="G124" s="76" t="n">
        <x:v>80</x:v>
      </x:c>
      <x:c r="H124" s="76" t="n">
        <x:v>37.95</x:v>
      </x:c>
      <x:c r="I124" s="76" t="n">
        <x:f>G124*H124</x:f>
        <x:v>3036</x:v>
      </x:c>
      <x:c r="J124" s="76" t="n">
        <x:f>IFERROR(INDEX('Inventory'!$E$2:$E$71,MATCH(E124,'Inventory'!$A$2:$A$71,0)),0)</x:f>
        <x:v>12427</x:v>
      </x:c>
      <x:c r="K124" s="76" t="n">
        <x:f>IFERROR(INDEX('Inventory'!$F$2:$F$71,MATCH(E124,'Inventory'!$A$2:$A$71,0)),0)</x:f>
        <x:v>1016</x:v>
      </x:c>
      <x:c r="L124" s="76" t="n">
        <x:f>SUMIFS('Open_POs'!$D$2:$D$26,'Open_POs'!$B$2:$B$26,E124,'Open_POs'!$E$2:$E$26,"&lt;="&amp;B124)</x:f>
        <x:v>1000</x:v>
      </x:c>
      <x:c r="M124" s="76" t="n">
        <x:f>J124+L124</x:f>
        <x:v>13427</x:v>
      </x:c>
      <x:c r="N124" s="76" t="n">
        <x:f>SUMIFS($I$2:I124,$E$2:E124,E124)</x:f>
        <x:v>11850.7</x:v>
      </x:c>
      <x:c r="O124" s="76" t="n">
        <x:f>M124-N124</x:f>
        <x:v>1576.2999999999993</x:v>
      </x:c>
      <x:c r="P124" s="71" t="str">
        <x:f>IF(O124&lt;0,"SHORT",IF(O124&lt;K124,"BELOW TARGET","COVERED"))</x:f>
        <x:v>COVERED</x:v>
      </x:c>
      <x:c r="Q124" s="63" t="str">
        <x:f>IF(AND(P124="SHORT",COUNTIFS($E$2:E124,E124,$P$2:P124,"SHORT")=1),B124,"")</x:f>
      </x:c>
    </x:row>
    <x:row r="125" ht="15" customHeight="1">
      <x:c r="A125" s="71" t="str">
        <x:v>SO-26014</x:v>
      </x:c>
      <x:c r="B125" s="75" t="n">
        <x:v>46264</x:v>
      </x:c>
      <x:c r="C125" s="71" t="str">
        <x:v>Normal</x:v>
      </x:c>
      <x:c r="D125" s="71" t="str">
        <x:v>FG-001</x:v>
      </x:c>
      <x:c r="E125" s="71" t="str">
        <x:v>RM-048</x:v>
      </x:c>
      <x:c r="F125" s="71" t="str">
        <x:v>Filler 048</x:v>
      </x:c>
      <x:c r="G125" s="76" t="n">
        <x:v>80</x:v>
      </x:c>
      <x:c r="H125" s="76" t="n">
        <x:v>11.19</x:v>
      </x:c>
      <x:c r="I125" s="76" t="n">
        <x:f>G125*H125</x:f>
        <x:v>895.1999999999999</x:v>
      </x:c>
      <x:c r="J125" s="76" t="n">
        <x:f>IFERROR(INDEX('Inventory'!$E$2:$E$71,MATCH(E125,'Inventory'!$A$2:$A$71,0)),0)</x:f>
        <x:v>637</x:v>
      </x:c>
      <x:c r="K125" s="76" t="n">
        <x:f>IFERROR(INDEX('Inventory'!$F$2:$F$71,MATCH(E125,'Inventory'!$A$2:$A$71,0)),0)</x:f>
        <x:v>888</x:v>
      </x:c>
      <x:c r="L125" s="76" t="n">
        <x:f>SUMIFS('Open_POs'!$D$2:$D$26,'Open_POs'!$B$2:$B$26,E125,'Open_POs'!$E$2:$E$26,"&lt;="&amp;B125)</x:f>
        <x:v>0</x:v>
      </x:c>
      <x:c r="M125" s="76" t="n">
        <x:f>J125+L125</x:f>
        <x:v>637</x:v>
      </x:c>
      <x:c r="N125" s="76" t="n">
        <x:f>SUMIFS($I$2:I125,$E$2:E125,E125)</x:f>
        <x:v>7756.599999999999</x:v>
      </x:c>
      <x:c r="O125" s="76" t="n">
        <x:f>M125-N125</x:f>
        <x:v>-7119.599999999999</x:v>
      </x:c>
      <x:c r="P125" s="71" t="str">
        <x:f>IF(O125&lt;0,"SHORT",IF(O125&lt;K125,"BELOW TARGET","COVERED"))</x:f>
        <x:v>SHORT</x:v>
      </x:c>
      <x:c r="Q125" s="63" t="str">
        <x:f>IF(AND(P125="SHORT",COUNTIFS($E$2:E125,E125,$P$2:P125,"SHORT")=1),B125,"")</x:f>
      </x:c>
    </x:row>
    <x:row r="126" ht="15" customHeight="1">
      <x:c r="A126" s="71" t="str">
        <x:v>SO-26014</x:v>
      </x:c>
      <x:c r="B126" s="75" t="n">
        <x:v>46264</x:v>
      </x:c>
      <x:c r="C126" s="71" t="str">
        <x:v>Normal</x:v>
      </x:c>
      <x:c r="D126" s="71" t="str">
        <x:v>FG-001</x:v>
      </x:c>
      <x:c r="E126" s="71" t="str">
        <x:v>RM-066</x:v>
      </x:c>
      <x:c r="F126" s="71" t="str">
        <x:v>Resin 066</x:v>
      </x:c>
      <x:c r="G126" s="76" t="n">
        <x:v>80</x:v>
      </x:c>
      <x:c r="H126" s="76" t="n">
        <x:v>38.59</x:v>
      </x:c>
      <x:c r="I126" s="76" t="n">
        <x:f>G126*H126</x:f>
        <x:v>3087.2000000000003</x:v>
      </x:c>
      <x:c r="J126" s="76" t="n">
        <x:f>IFERROR(INDEX('Inventory'!$E$2:$E$71,MATCH(E126,'Inventory'!$A$2:$A$71,0)),0)</x:f>
        <x:v>10876</x:v>
      </x:c>
      <x:c r="K126" s="76" t="n">
        <x:f>IFERROR(INDEX('Inventory'!$F$2:$F$71,MATCH(E126,'Inventory'!$A$2:$A$71,0)),0)</x:f>
        <x:v>567</x:v>
      </x:c>
      <x:c r="L126" s="76" t="n">
        <x:f>SUMIFS('Open_POs'!$D$2:$D$26,'Open_POs'!$B$2:$B$26,E126,'Open_POs'!$E$2:$E$26,"&lt;="&amp;B126)</x:f>
        <x:v>0</x:v>
      </x:c>
      <x:c r="M126" s="76" t="n">
        <x:f>J126+L126</x:f>
        <x:v>10876</x:v>
      </x:c>
      <x:c r="N126" s="76" t="n">
        <x:f>SUMIFS($I$2:I126,$E$2:E126,E126)</x:f>
        <x:v>4198.900000000001</x:v>
      </x:c>
      <x:c r="O126" s="76" t="n">
        <x:f>M126-N126</x:f>
        <x:v>6677.099999999999</x:v>
      </x:c>
      <x:c r="P126" s="71" t="str">
        <x:f>IF(O126&lt;0,"SHORT",IF(O126&lt;K126,"BELOW TARGET","COVERED"))</x:f>
        <x:v>COVERED</x:v>
      </x:c>
      <x:c r="Q126" s="63" t="str">
        <x:f>IF(AND(P126="SHORT",COUNTIFS($E$2:E126,E126,$P$2:P126,"SHORT")=1),B126,"")</x:f>
      </x:c>
    </x:row>
    <x:row r="127" ht="15" customHeight="1">
      <x:c r="A127" s="71" t="str">
        <x:v>SO-26065</x:v>
      </x:c>
      <x:c r="B127" s="75" t="n">
        <x:v>46266</x:v>
      </x:c>
      <x:c r="C127" s="71" t="str">
        <x:v>Normal</x:v>
      </x:c>
      <x:c r="D127" s="71" t="str">
        <x:v>FG-022</x:v>
      </x:c>
      <x:c r="E127" s="71" t="str">
        <x:v>RM-005</x:v>
      </x:c>
      <x:c r="F127" s="71" t="str">
        <x:v>Packaging 005</x:v>
      </x:c>
      <x:c r="G127" s="76" t="n">
        <x:v>20</x:v>
      </x:c>
      <x:c r="H127" s="76" t="n">
        <x:v>17.79</x:v>
      </x:c>
      <x:c r="I127" s="76" t="n">
        <x:f>G127*H127</x:f>
        <x:v>355.79999999999995</x:v>
      </x:c>
      <x:c r="J127" s="76" t="n">
        <x:f>IFERROR(INDEX('Inventory'!$E$2:$E$71,MATCH(E127,'Inventory'!$A$2:$A$71,0)),0)</x:f>
        <x:v>8699</x:v>
      </x:c>
      <x:c r="K127" s="76" t="n">
        <x:f>IFERROR(INDEX('Inventory'!$F$2:$F$71,MATCH(E127,'Inventory'!$A$2:$A$71,0)),0)</x:f>
        <x:v>1174</x:v>
      </x:c>
      <x:c r="L127" s="76" t="n">
        <x:f>SUMIFS('Open_POs'!$D$2:$D$26,'Open_POs'!$B$2:$B$26,E127,'Open_POs'!$E$2:$E$26,"&lt;="&amp;B127)</x:f>
        <x:v>0</x:v>
      </x:c>
      <x:c r="M127" s="76" t="n">
        <x:f>J127+L127</x:f>
        <x:v>8699</x:v>
      </x:c>
      <x:c r="N127" s="76" t="n">
        <x:f>SUMIFS($I$2:I127,$E$2:E127,E127)</x:f>
        <x:v>14566.799999999997</x:v>
      </x:c>
      <x:c r="O127" s="76" t="n">
        <x:f>M127-N127</x:f>
        <x:v>-5867.799999999997</x:v>
      </x:c>
      <x:c r="P127" s="71" t="str">
        <x:f>IF(O127&lt;0,"SHORT",IF(O127&lt;K127,"BELOW TARGET","COVERED"))</x:f>
        <x:v>SHORT</x:v>
      </x:c>
      <x:c r="Q127" s="63" t="str">
        <x:f>IF(AND(P127="SHORT",COUNTIFS($E$2:E127,E127,$P$2:P127,"SHORT")=1),B127,"")</x:f>
      </x:c>
    </x:row>
    <x:row r="128" ht="15" customHeight="1">
      <x:c r="A128" s="71" t="str">
        <x:v>SO-26065</x:v>
      </x:c>
      <x:c r="B128" s="75" t="n">
        <x:v>46266</x:v>
      </x:c>
      <x:c r="C128" s="71" t="str">
        <x:v>Normal</x:v>
      </x:c>
      <x:c r="D128" s="71" t="str">
        <x:v>FG-022</x:v>
      </x:c>
      <x:c r="E128" s="71" t="str">
        <x:v>RM-015</x:v>
      </x:c>
      <x:c r="F128" s="71" t="str">
        <x:v>Packaging 015</x:v>
      </x:c>
      <x:c r="G128" s="76" t="n">
        <x:v>20</x:v>
      </x:c>
      <x:c r="H128" s="76" t="n">
        <x:v>10.04</x:v>
      </x:c>
      <x:c r="I128" s="76" t="n">
        <x:f>G128*H128</x:f>
        <x:v>200.79999999999998</x:v>
      </x:c>
      <x:c r="J128" s="76" t="n">
        <x:f>IFERROR(INDEX('Inventory'!$E$2:$E$71,MATCH(E128,'Inventory'!$A$2:$A$71,0)),0)</x:f>
        <x:v>8914</x:v>
      </x:c>
      <x:c r="K128" s="76" t="n">
        <x:f>IFERROR(INDEX('Inventory'!$F$2:$F$71,MATCH(E128,'Inventory'!$A$2:$A$71,0)),0)</x:f>
        <x:v>1380</x:v>
      </x:c>
      <x:c r="L128" s="76" t="n">
        <x:f>SUMIFS('Open_POs'!$D$2:$D$26,'Open_POs'!$B$2:$B$26,E128,'Open_POs'!$E$2:$E$26,"&lt;="&amp;B128)</x:f>
        <x:v>0</x:v>
      </x:c>
      <x:c r="M128" s="76" t="n">
        <x:f>J128+L128</x:f>
        <x:v>8914</x:v>
      </x:c>
      <x:c r="N128" s="76" t="n">
        <x:f>SUMIFS($I$2:I128,$E$2:E128,E128)</x:f>
        <x:v>8620</x:v>
      </x:c>
      <x:c r="O128" s="76" t="n">
        <x:f>M128-N128</x:f>
        <x:v>294</x:v>
      </x:c>
      <x:c r="P128" s="71" t="str">
        <x:f>IF(O128&lt;0,"SHORT",IF(O128&lt;K128,"BELOW TARGET","COVERED"))</x:f>
        <x:v>BELOW TARGET</x:v>
      </x:c>
      <x:c r="Q128" s="63" t="str">
        <x:f>IF(AND(P128="SHORT",COUNTIFS($E$2:E128,E128,$P$2:P128,"SHORT")=1),B128,"")</x:f>
      </x:c>
    </x:row>
    <x:row r="129" ht="15" customHeight="1">
      <x:c r="A129" s="71" t="str">
        <x:v>SO-26065</x:v>
      </x:c>
      <x:c r="B129" s="75" t="n">
        <x:v>46266</x:v>
      </x:c>
      <x:c r="C129" s="71" t="str">
        <x:v>Normal</x:v>
      </x:c>
      <x:c r="D129" s="71" t="str">
        <x:v>FG-022</x:v>
      </x:c>
      <x:c r="E129" s="71" t="str">
        <x:v>RM-024</x:v>
      </x:c>
      <x:c r="F129" s="71" t="str">
        <x:v>Additive 024</x:v>
      </x:c>
      <x:c r="G129" s="76" t="n">
        <x:v>20</x:v>
      </x:c>
      <x:c r="H129" s="76" t="n">
        <x:v>137.42</x:v>
      </x:c>
      <x:c r="I129" s="76" t="n">
        <x:f>G129*H129</x:f>
        <x:v>2748.3999999999996</x:v>
      </x:c>
      <x:c r="J129" s="76" t="n">
        <x:f>IFERROR(INDEX('Inventory'!$E$2:$E$71,MATCH(E129,'Inventory'!$A$2:$A$71,0)),0)</x:f>
        <x:v>542</x:v>
      </x:c>
      <x:c r="K129" s="76" t="n">
        <x:f>IFERROR(INDEX('Inventory'!$F$2:$F$71,MATCH(E129,'Inventory'!$A$2:$A$71,0)),0)</x:f>
        <x:v>1356</x:v>
      </x:c>
      <x:c r="L129" s="76" t="n">
        <x:f>SUMIFS('Open_POs'!$D$2:$D$26,'Open_POs'!$B$2:$B$26,E129,'Open_POs'!$E$2:$E$26,"&lt;="&amp;B129)</x:f>
        <x:v>0</x:v>
      </x:c>
      <x:c r="M129" s="76" t="n">
        <x:f>J129+L129</x:f>
        <x:v>542</x:v>
      </x:c>
      <x:c r="N129" s="76" t="n">
        <x:f>SUMIFS($I$2:I129,$E$2:E129,E129)</x:f>
        <x:v>8114.799999999999</x:v>
      </x:c>
      <x:c r="O129" s="76" t="n">
        <x:f>M129-N129</x:f>
        <x:v>-7572.799999999999</x:v>
      </x:c>
      <x:c r="P129" s="71" t="str">
        <x:f>IF(O129&lt;0,"SHORT",IF(O129&lt;K129,"BELOW TARGET","COVERED"))</x:f>
        <x:v>SHORT</x:v>
      </x:c>
      <x:c r="Q129" s="63" t="str">
        <x:f>IF(AND(P129="SHORT",COUNTIFS($E$2:E129,E129,$P$2:P129,"SHORT")=1),B129,"")</x:f>
      </x:c>
    </x:row>
    <x:row r="130" ht="15" customHeight="1">
      <x:c r="A130" s="71" t="str">
        <x:v>SO-26065</x:v>
      </x:c>
      <x:c r="B130" s="75" t="n">
        <x:v>46266</x:v>
      </x:c>
      <x:c r="C130" s="71" t="str">
        <x:v>Normal</x:v>
      </x:c>
      <x:c r="D130" s="71" t="str">
        <x:v>FG-022</x:v>
      </x:c>
      <x:c r="E130" s="71" t="str">
        <x:v>RM-028</x:v>
      </x:c>
      <x:c r="F130" s="71" t="str">
        <x:v>Filler 028</x:v>
      </x:c>
      <x:c r="G130" s="76" t="n">
        <x:v>20</x:v>
      </x:c>
      <x:c r="H130" s="76" t="n">
        <x:v>14.86</x:v>
      </x:c>
      <x:c r="I130" s="76" t="n">
        <x:f>G130*H130</x:f>
        <x:v>297.2</x:v>
      </x:c>
      <x:c r="J130" s="76" t="n">
        <x:f>IFERROR(INDEX('Inventory'!$E$2:$E$71,MATCH(E130,'Inventory'!$A$2:$A$71,0)),0)</x:f>
        <x:v>14836</x:v>
      </x:c>
      <x:c r="K130" s="76" t="n">
        <x:f>IFERROR(INDEX('Inventory'!$F$2:$F$71,MATCH(E130,'Inventory'!$A$2:$A$71,0)),0)</x:f>
        <x:v>1498</x:v>
      </x:c>
      <x:c r="L130" s="76" t="n">
        <x:f>SUMIFS('Open_POs'!$D$2:$D$26,'Open_POs'!$B$2:$B$26,E130,'Open_POs'!$E$2:$E$26,"&lt;="&amp;B130)</x:f>
        <x:v>0</x:v>
      </x:c>
      <x:c r="M130" s="76" t="n">
        <x:f>J130+L130</x:f>
        <x:v>14836</x:v>
      </x:c>
      <x:c r="N130" s="76" t="n">
        <x:f>SUMIFS($I$2:I130,$E$2:E130,E130)</x:f>
        <x:v>297.2</x:v>
      </x:c>
      <x:c r="O130" s="76" t="n">
        <x:f>M130-N130</x:f>
        <x:v>14538.8</x:v>
      </x:c>
      <x:c r="P130" s="71" t="str">
        <x:f>IF(O130&lt;0,"SHORT",IF(O130&lt;K130,"BELOW TARGET","COVERED"))</x:f>
        <x:v>COVERED</x:v>
      </x:c>
      <x:c r="Q130" s="63" t="str">
        <x:f>IF(AND(P130="SHORT",COUNTIFS($E$2:E130,E130,$P$2:P130,"SHORT")=1),B130,"")</x:f>
      </x:c>
    </x:row>
    <x:row r="131" ht="15" customHeight="1">
      <x:c r="A131" s="71" t="str">
        <x:v>SO-26065</x:v>
      </x:c>
      <x:c r="B131" s="75" t="n">
        <x:v>46266</x:v>
      </x:c>
      <x:c r="C131" s="71" t="str">
        <x:v>Normal</x:v>
      </x:c>
      <x:c r="D131" s="71" t="str">
        <x:v>FG-022</x:v>
      </x:c>
      <x:c r="E131" s="71" t="str">
        <x:v>RM-038</x:v>
      </x:c>
      <x:c r="F131" s="71" t="str">
        <x:v>Filler 038</x:v>
      </x:c>
      <x:c r="G131" s="76" t="n">
        <x:v>20</x:v>
      </x:c>
      <x:c r="H131" s="76" t="n">
        <x:v>123.54</x:v>
      </x:c>
      <x:c r="I131" s="76" t="n">
        <x:f>G131*H131</x:f>
        <x:v>2470.8</x:v>
      </x:c>
      <x:c r="J131" s="76" t="n">
        <x:f>IFERROR(INDEX('Inventory'!$E$2:$E$71,MATCH(E131,'Inventory'!$A$2:$A$71,0)),0)</x:f>
        <x:v>10042</x:v>
      </x:c>
      <x:c r="K131" s="76" t="n">
        <x:f>IFERROR(INDEX('Inventory'!$F$2:$F$71,MATCH(E131,'Inventory'!$A$2:$A$71,0)),0)</x:f>
        <x:v>1452</x:v>
      </x:c>
      <x:c r="L131" s="76" t="n">
        <x:f>SUMIFS('Open_POs'!$D$2:$D$26,'Open_POs'!$B$2:$B$26,E131,'Open_POs'!$E$2:$E$26,"&lt;="&amp;B131)</x:f>
        <x:v>0</x:v>
      </x:c>
      <x:c r="M131" s="76" t="n">
        <x:f>J131+L131</x:f>
        <x:v>10042</x:v>
      </x:c>
      <x:c r="N131" s="76" t="n">
        <x:f>SUMIFS($I$2:I131,$E$2:E131,E131)</x:f>
        <x:v>9850.2</x:v>
      </x:c>
      <x:c r="O131" s="76" t="n">
        <x:f>M131-N131</x:f>
        <x:v>191.79999999999927</x:v>
      </x:c>
      <x:c r="P131" s="71" t="str">
        <x:f>IF(O131&lt;0,"SHORT",IF(O131&lt;K131,"BELOW TARGET","COVERED"))</x:f>
        <x:v>BELOW TARGET</x:v>
      </x:c>
      <x:c r="Q131" s="63" t="str">
        <x:f>IF(AND(P131="SHORT",COUNTIFS($E$2:E131,E131,$P$2:P131,"SHORT")=1),B131,"")</x:f>
      </x:c>
    </x:row>
    <x:row r="132" ht="15" customHeight="1">
      <x:c r="A132" s="71" t="str">
        <x:v>SO-26065</x:v>
      </x:c>
      <x:c r="B132" s="75" t="n">
        <x:v>46266</x:v>
      </x:c>
      <x:c r="C132" s="71" t="str">
        <x:v>Normal</x:v>
      </x:c>
      <x:c r="D132" s="71" t="str">
        <x:v>FG-022</x:v>
      </x:c>
      <x:c r="E132" s="71" t="str">
        <x:v>RM-041</x:v>
      </x:c>
      <x:c r="F132" s="71" t="str">
        <x:v>Resin 041</x:v>
      </x:c>
      <x:c r="G132" s="76" t="n">
        <x:v>20</x:v>
      </x:c>
      <x:c r="H132" s="76" t="n">
        <x:v>97.02</x:v>
      </x:c>
      <x:c r="I132" s="76" t="n">
        <x:f>G132*H132</x:f>
        <x:v>1940.3999999999999</x:v>
      </x:c>
      <x:c r="J132" s="76" t="n">
        <x:f>IFERROR(INDEX('Inventory'!$E$2:$E$71,MATCH(E132,'Inventory'!$A$2:$A$71,0)),0)</x:f>
        <x:v>4635</x:v>
      </x:c>
      <x:c r="K132" s="76" t="n">
        <x:f>IFERROR(INDEX('Inventory'!$F$2:$F$71,MATCH(E132,'Inventory'!$A$2:$A$71,0)),0)</x:f>
        <x:v>987</x:v>
      </x:c>
      <x:c r="L132" s="76" t="n">
        <x:f>SUMIFS('Open_POs'!$D$2:$D$26,'Open_POs'!$B$2:$B$26,E132,'Open_POs'!$E$2:$E$26,"&lt;="&amp;B132)</x:f>
        <x:v>0</x:v>
      </x:c>
      <x:c r="M132" s="76" t="n">
        <x:f>J132+L132</x:f>
        <x:v>4635</x:v>
      </x:c>
      <x:c r="N132" s="76" t="n">
        <x:f>SUMIFS($I$2:I132,$E$2:E132,E132)</x:f>
        <x:v>2405.4</x:v>
      </x:c>
      <x:c r="O132" s="76" t="n">
        <x:f>M132-N132</x:f>
        <x:v>2229.6</x:v>
      </x:c>
      <x:c r="P132" s="71" t="str">
        <x:f>IF(O132&lt;0,"SHORT",IF(O132&lt;K132,"BELOW TARGET","COVERED"))</x:f>
        <x:v>COVERED</x:v>
      </x:c>
      <x:c r="Q132" s="63" t="str">
        <x:f>IF(AND(P132="SHORT",COUNTIFS($E$2:E132,E132,$P$2:P132,"SHORT")=1),B132,"")</x:f>
      </x:c>
    </x:row>
    <x:row r="133" ht="15" customHeight="1">
      <x:c r="A133" s="71" t="str">
        <x:v>SO-26065</x:v>
      </x:c>
      <x:c r="B133" s="75" t="n">
        <x:v>46266</x:v>
      </x:c>
      <x:c r="C133" s="71" t="str">
        <x:v>Normal</x:v>
      </x:c>
      <x:c r="D133" s="71" t="str">
        <x:v>FG-022</x:v>
      </x:c>
      <x:c r="E133" s="71" t="str">
        <x:v>RM-060</x:v>
      </x:c>
      <x:c r="F133" s="71" t="str">
        <x:v>Packaging 060</x:v>
      </x:c>
      <x:c r="G133" s="76" t="n">
        <x:v>20</x:v>
      </x:c>
      <x:c r="H133" s="76" t="n">
        <x:v>108.66</x:v>
      </x:c>
      <x:c r="I133" s="76" t="n">
        <x:f>G133*H133</x:f>
        <x:v>2173.2</x:v>
      </x:c>
      <x:c r="J133" s="76" t="n">
        <x:f>IFERROR(INDEX('Inventory'!$E$2:$E$71,MATCH(E133,'Inventory'!$A$2:$A$71,0)),0)</x:f>
        <x:v>17534</x:v>
      </x:c>
      <x:c r="K133" s="76" t="n">
        <x:f>IFERROR(INDEX('Inventory'!$F$2:$F$71,MATCH(E133,'Inventory'!$A$2:$A$71,0)),0)</x:f>
        <x:v>189</x:v>
      </x:c>
      <x:c r="L133" s="76" t="n">
        <x:f>SUMIFS('Open_POs'!$D$2:$D$26,'Open_POs'!$B$2:$B$26,E133,'Open_POs'!$E$2:$E$26,"&lt;="&amp;B133)</x:f>
        <x:v>5000</x:v>
      </x:c>
      <x:c r="M133" s="76" t="n">
        <x:f>J133+L133</x:f>
        <x:v>22534</x:v>
      </x:c>
      <x:c r="N133" s="76" t="n">
        <x:f>SUMIFS($I$2:I133,$E$2:E133,E133)</x:f>
        <x:v>2173.2</x:v>
      </x:c>
      <x:c r="O133" s="76" t="n">
        <x:f>M133-N133</x:f>
        <x:v>20360.8</x:v>
      </x:c>
      <x:c r="P133" s="71" t="str">
        <x:f>IF(O133&lt;0,"SHORT",IF(O133&lt;K133,"BELOW TARGET","COVERED"))</x:f>
        <x:v>COVERED</x:v>
      </x:c>
      <x:c r="Q133" s="63" t="str">
        <x:f>IF(AND(P133="SHORT",COUNTIFS($E$2:E133,E133,$P$2:P133,"SHORT")=1),B133,"")</x:f>
      </x:c>
    </x:row>
    <x:row r="134" ht="15" customHeight="1">
      <x:c r="A134" s="71" t="str">
        <x:v>SO-26065</x:v>
      </x:c>
      <x:c r="B134" s="75" t="n">
        <x:v>46266</x:v>
      </x:c>
      <x:c r="C134" s="71" t="str">
        <x:v>Normal</x:v>
      </x:c>
      <x:c r="D134" s="71" t="str">
        <x:v>FG-022</x:v>
      </x:c>
      <x:c r="E134" s="71" t="str">
        <x:v>RM-062</x:v>
      </x:c>
      <x:c r="F134" s="71" t="str">
        <x:v>Pigment 062</x:v>
      </x:c>
      <x:c r="G134" s="76" t="n">
        <x:v>20</x:v>
      </x:c>
      <x:c r="H134" s="76" t="n">
        <x:v>26.71</x:v>
      </x:c>
      <x:c r="I134" s="76" t="n">
        <x:f>G134*H134</x:f>
        <x:v>534.2</x:v>
      </x:c>
      <x:c r="J134" s="76" t="n">
        <x:f>IFERROR(INDEX('Inventory'!$E$2:$E$71,MATCH(E134,'Inventory'!$A$2:$A$71,0)),0)</x:f>
        <x:v>7110</x:v>
      </x:c>
      <x:c r="K134" s="76" t="n">
        <x:f>IFERROR(INDEX('Inventory'!$F$2:$F$71,MATCH(E134,'Inventory'!$A$2:$A$71,0)),0)</x:f>
        <x:v>1339</x:v>
      </x:c>
      <x:c r="L134" s="76" t="n">
        <x:f>SUMIFS('Open_POs'!$D$2:$D$26,'Open_POs'!$B$2:$B$26,E134,'Open_POs'!$E$2:$E$26,"&lt;="&amp;B134)</x:f>
        <x:v>0</x:v>
      </x:c>
      <x:c r="M134" s="76" t="n">
        <x:f>J134+L134</x:f>
        <x:v>7110</x:v>
      </x:c>
      <x:c r="N134" s="76" t="n">
        <x:f>SUMIFS($I$2:I134,$E$2:E134,E134)</x:f>
        <x:v>1727</x:v>
      </x:c>
      <x:c r="O134" s="76" t="n">
        <x:f>M134-N134</x:f>
        <x:v>5383</x:v>
      </x:c>
      <x:c r="P134" s="71" t="str">
        <x:f>IF(O134&lt;0,"SHORT",IF(O134&lt;K134,"BELOW TARGET","COVERED"))</x:f>
        <x:v>COVERED</x:v>
      </x:c>
      <x:c r="Q134" s="63" t="str">
        <x:f>IF(AND(P134="SHORT",COUNTIFS($E$2:E134,E134,$P$2:P134,"SHORT")=1),B134,"")</x:f>
      </x:c>
    </x:row>
    <x:row r="135" ht="15" customHeight="1">
      <x:c r="A135" s="71" t="str">
        <x:v>SO-26021</x:v>
      </x:c>
      <x:c r="B135" s="75" t="n">
        <x:v>46267</x:v>
      </x:c>
      <x:c r="C135" s="71" t="str">
        <x:v>High</x:v>
      </x:c>
      <x:c r="D135" s="71" t="str">
        <x:v>FG-021</x:v>
      </x:c>
      <x:c r="E135" s="71" t="str">
        <x:v>RM-001</x:v>
      </x:c>
      <x:c r="F135" s="71" t="str">
        <x:v>Resin 001</x:v>
      </x:c>
      <x:c r="G135" s="76" t="n">
        <x:v>10</x:v>
      </x:c>
      <x:c r="H135" s="76" t="n">
        <x:v>56.97</x:v>
      </x:c>
      <x:c r="I135" s="76" t="n">
        <x:f>G135*H135</x:f>
        <x:v>569.7</x:v>
      </x:c>
      <x:c r="J135" s="76" t="n">
        <x:f>IFERROR(INDEX('Inventory'!$E$2:$E$71,MATCH(E135,'Inventory'!$A$2:$A$71,0)),0)</x:f>
        <x:v>9214</x:v>
      </x:c>
      <x:c r="K135" s="76" t="n">
        <x:f>IFERROR(INDEX('Inventory'!$F$2:$F$71,MATCH(E135,'Inventory'!$A$2:$A$71,0)),0)</x:f>
        <x:v>713</x:v>
      </x:c>
      <x:c r="L135" s="76" t="n">
        <x:f>SUMIFS('Open_POs'!$D$2:$D$26,'Open_POs'!$B$2:$B$26,E135,'Open_POs'!$E$2:$E$26,"&lt;="&amp;B135)</x:f>
        <x:v>0</x:v>
      </x:c>
      <x:c r="M135" s="76" t="n">
        <x:f>J135+L135</x:f>
        <x:v>9214</x:v>
      </x:c>
      <x:c r="N135" s="76" t="n">
        <x:f>SUMIFS($I$2:I135,$E$2:E135,E135)</x:f>
        <x:v>6266.7</x:v>
      </x:c>
      <x:c r="O135" s="76" t="n">
        <x:f>M135-N135</x:f>
        <x:v>2947.3</x:v>
      </x:c>
      <x:c r="P135" s="71" t="str">
        <x:f>IF(O135&lt;0,"SHORT",IF(O135&lt;K135,"BELOW TARGET","COVERED"))</x:f>
        <x:v>COVERED</x:v>
      </x:c>
      <x:c r="Q135" s="63" t="str">
        <x:f>IF(AND(P135="SHORT",COUNTIFS($E$2:E135,E135,$P$2:P135,"SHORT")=1),B135,"")</x:f>
      </x:c>
    </x:row>
    <x:row r="136" ht="15" customHeight="1">
      <x:c r="A136" s="71" t="str">
        <x:v>SO-26021</x:v>
      </x:c>
      <x:c r="B136" s="75" t="n">
        <x:v>46267</x:v>
      </x:c>
      <x:c r="C136" s="71" t="str">
        <x:v>High</x:v>
      </x:c>
      <x:c r="D136" s="71" t="str">
        <x:v>FG-021</x:v>
      </x:c>
      <x:c r="E136" s="71" t="str">
        <x:v>RM-013</x:v>
      </x:c>
      <x:c r="F136" s="71" t="str">
        <x:v>Filler 013</x:v>
      </x:c>
      <x:c r="G136" s="76" t="n">
        <x:v>10</x:v>
      </x:c>
      <x:c r="H136" s="76" t="n">
        <x:v>14.71</x:v>
      </x:c>
      <x:c r="I136" s="76" t="n">
        <x:f>G136*H136</x:f>
        <x:v>147.10000000000002</x:v>
      </x:c>
      <x:c r="J136" s="76" t="n">
        <x:f>IFERROR(INDEX('Inventory'!$E$2:$E$71,MATCH(E136,'Inventory'!$A$2:$A$71,0)),0)</x:f>
        <x:v>16230</x:v>
      </x:c>
      <x:c r="K136" s="76" t="n">
        <x:f>IFERROR(INDEX('Inventory'!$F$2:$F$71,MATCH(E136,'Inventory'!$A$2:$A$71,0)),0)</x:f>
        <x:v>1037</x:v>
      </x:c>
      <x:c r="L136" s="76" t="n">
        <x:f>SUMIFS('Open_POs'!$D$2:$D$26,'Open_POs'!$B$2:$B$26,E136,'Open_POs'!$E$2:$E$26,"&lt;="&amp;B136)</x:f>
        <x:v>0</x:v>
      </x:c>
      <x:c r="M136" s="76" t="n">
        <x:f>J136+L136</x:f>
        <x:v>16230</x:v>
      </x:c>
      <x:c r="N136" s="76" t="n">
        <x:f>SUMIFS($I$2:I136,$E$2:E136,E136)</x:f>
        <x:v>5037.3</x:v>
      </x:c>
      <x:c r="O136" s="76" t="n">
        <x:f>M136-N136</x:f>
        <x:v>11192.7</x:v>
      </x:c>
      <x:c r="P136" s="71" t="str">
        <x:f>IF(O136&lt;0,"SHORT",IF(O136&lt;K136,"BELOW TARGET","COVERED"))</x:f>
        <x:v>COVERED</x:v>
      </x:c>
      <x:c r="Q136" s="63" t="str">
        <x:f>IF(AND(P136="SHORT",COUNTIFS($E$2:E136,E136,$P$2:P136,"SHORT")=1),B136,"")</x:f>
      </x:c>
    </x:row>
    <x:row r="137" ht="15" customHeight="1">
      <x:c r="A137" s="71" t="str">
        <x:v>SO-26021</x:v>
      </x:c>
      <x:c r="B137" s="75" t="n">
        <x:v>46267</x:v>
      </x:c>
      <x:c r="C137" s="71" t="str">
        <x:v>High</x:v>
      </x:c>
      <x:c r="D137" s="71" t="str">
        <x:v>FG-021</x:v>
      </x:c>
      <x:c r="E137" s="71" t="str">
        <x:v>RM-018</x:v>
      </x:c>
      <x:c r="F137" s="71" t="str">
        <x:v>Filler 018</x:v>
      </x:c>
      <x:c r="G137" s="76" t="n">
        <x:v>10</x:v>
      </x:c>
      <x:c r="H137" s="76" t="n">
        <x:v>37.67</x:v>
      </x:c>
      <x:c r="I137" s="76" t="n">
        <x:f>G137*H137</x:f>
        <x:v>376.70000000000005</x:v>
      </x:c>
      <x:c r="J137" s="76" t="n">
        <x:f>IFERROR(INDEX('Inventory'!$E$2:$E$71,MATCH(E137,'Inventory'!$A$2:$A$71,0)),0)</x:f>
        <x:v>17607</x:v>
      </x:c>
      <x:c r="K137" s="76" t="n">
        <x:f>IFERROR(INDEX('Inventory'!$F$2:$F$71,MATCH(E137,'Inventory'!$A$2:$A$71,0)),0)</x:f>
        <x:v>302</x:v>
      </x:c>
      <x:c r="L137" s="76" t="n">
        <x:f>SUMIFS('Open_POs'!$D$2:$D$26,'Open_POs'!$B$2:$B$26,E137,'Open_POs'!$E$2:$E$26,"&lt;="&amp;B137)</x:f>
        <x:v>0</x:v>
      </x:c>
      <x:c r="M137" s="76" t="n">
        <x:f>J137+L137</x:f>
        <x:v>17607</x:v>
      </x:c>
      <x:c r="N137" s="76" t="n">
        <x:f>SUMIFS($I$2:I137,$E$2:E137,E137)</x:f>
        <x:v>5594.499999999999</x:v>
      </x:c>
      <x:c r="O137" s="76" t="n">
        <x:f>M137-N137</x:f>
        <x:v>12012.5</x:v>
      </x:c>
      <x:c r="P137" s="71" t="str">
        <x:f>IF(O137&lt;0,"SHORT",IF(O137&lt;K137,"BELOW TARGET","COVERED"))</x:f>
        <x:v>COVERED</x:v>
      </x:c>
      <x:c r="Q137" s="63" t="str">
        <x:f>IF(AND(P137="SHORT",COUNTIFS($E$2:E137,E137,$P$2:P137,"SHORT")=1),B137,"")</x:f>
      </x:c>
    </x:row>
    <x:row r="138" ht="15" customHeight="1">
      <x:c r="A138" s="71" t="str">
        <x:v>SO-26021</x:v>
      </x:c>
      <x:c r="B138" s="75" t="n">
        <x:v>46267</x:v>
      </x:c>
      <x:c r="C138" s="71" t="str">
        <x:v>High</x:v>
      </x:c>
      <x:c r="D138" s="71" t="str">
        <x:v>FG-021</x:v>
      </x:c>
      <x:c r="E138" s="71" t="str">
        <x:v>RM-020</x:v>
      </x:c>
      <x:c r="F138" s="71" t="str">
        <x:v>Packaging 020</x:v>
      </x:c>
      <x:c r="G138" s="76" t="n">
        <x:v>10</x:v>
      </x:c>
      <x:c r="H138" s="76" t="n">
        <x:v>51.42</x:v>
      </x:c>
      <x:c r="I138" s="76" t="n">
        <x:f>G138*H138</x:f>
        <x:v>514.2</x:v>
      </x:c>
      <x:c r="J138" s="76" t="n">
        <x:f>IFERROR(INDEX('Inventory'!$E$2:$E$71,MATCH(E138,'Inventory'!$A$2:$A$71,0)),0)</x:f>
        <x:v>10528</x:v>
      </x:c>
      <x:c r="K138" s="76" t="n">
        <x:f>IFERROR(INDEX('Inventory'!$F$2:$F$71,MATCH(E138,'Inventory'!$A$2:$A$71,0)),0)</x:f>
        <x:v>881</x:v>
      </x:c>
      <x:c r="L138" s="76" t="n">
        <x:f>SUMIFS('Open_POs'!$D$2:$D$26,'Open_POs'!$B$2:$B$26,E138,'Open_POs'!$E$2:$E$26,"&lt;="&amp;B138)</x:f>
        <x:v>2500</x:v>
      </x:c>
      <x:c r="M138" s="76" t="n">
        <x:f>J138+L138</x:f>
        <x:v>13028</x:v>
      </x:c>
      <x:c r="N138" s="76" t="n">
        <x:f>SUMIFS($I$2:I138,$E$2:E138,E138)</x:f>
        <x:v>9963.2</x:v>
      </x:c>
      <x:c r="O138" s="76" t="n">
        <x:f>M138-N138</x:f>
        <x:v>3064.7999999999993</x:v>
      </x:c>
      <x:c r="P138" s="71" t="str">
        <x:f>IF(O138&lt;0,"SHORT",IF(O138&lt;K138,"BELOW TARGET","COVERED"))</x:f>
        <x:v>COVERED</x:v>
      </x:c>
      <x:c r="Q138" s="63" t="str">
        <x:f>IF(AND(P138="SHORT",COUNTIFS($E$2:E138,E138,$P$2:P138,"SHORT")=1),B138,"")</x:f>
      </x:c>
    </x:row>
    <x:row r="139" ht="15" customHeight="1">
      <x:c r="A139" s="71" t="str">
        <x:v>SO-26021</x:v>
      </x:c>
      <x:c r="B139" s="75" t="n">
        <x:v>46267</x:v>
      </x:c>
      <x:c r="C139" s="71" t="str">
        <x:v>High</x:v>
      </x:c>
      <x:c r="D139" s="71" t="str">
        <x:v>FG-021</x:v>
      </x:c>
      <x:c r="E139" s="71" t="str">
        <x:v>RM-044</x:v>
      </x:c>
      <x:c r="F139" s="71" t="str">
        <x:v>Additive 044</x:v>
      </x:c>
      <x:c r="G139" s="76" t="n">
        <x:v>10</x:v>
      </x:c>
      <x:c r="H139" s="76" t="n">
        <x:v>70.82</x:v>
      </x:c>
      <x:c r="I139" s="76" t="n">
        <x:f>G139*H139</x:f>
        <x:v>708.1999999999999</x:v>
      </x:c>
      <x:c r="J139" s="76" t="n">
        <x:f>IFERROR(INDEX('Inventory'!$E$2:$E$71,MATCH(E139,'Inventory'!$A$2:$A$71,0)),0)</x:f>
        <x:v>10361</x:v>
      </x:c>
      <x:c r="K139" s="76" t="n">
        <x:f>IFERROR(INDEX('Inventory'!$F$2:$F$71,MATCH(E139,'Inventory'!$A$2:$A$71,0)),0)</x:f>
        <x:v>571</x:v>
      </x:c>
      <x:c r="L139" s="76" t="n">
        <x:f>SUMIFS('Open_POs'!$D$2:$D$26,'Open_POs'!$B$2:$B$26,E139,'Open_POs'!$E$2:$E$26,"&lt;="&amp;B139)</x:f>
        <x:v>0</x:v>
      </x:c>
      <x:c r="M139" s="76" t="n">
        <x:f>J139+L139</x:f>
        <x:v>10361</x:v>
      </x:c>
      <x:c r="N139" s="76" t="n">
        <x:f>SUMIFS($I$2:I139,$E$2:E139,E139)</x:f>
        <x:v>8713.4</x:v>
      </x:c>
      <x:c r="O139" s="76" t="n">
        <x:f>M139-N139</x:f>
        <x:v>1647.6000000000004</x:v>
      </x:c>
      <x:c r="P139" s="71" t="str">
        <x:f>IF(O139&lt;0,"SHORT",IF(O139&lt;K139,"BELOW TARGET","COVERED"))</x:f>
        <x:v>COVERED</x:v>
      </x:c>
      <x:c r="Q139" s="63" t="str">
        <x:f>IF(AND(P139="SHORT",COUNTIFS($E$2:E139,E139,$P$2:P139,"SHORT")=1),B139,"")</x:f>
      </x:c>
    </x:row>
    <x:row r="140" ht="15" customHeight="1">
      <x:c r="A140" s="71" t="str">
        <x:v>SO-26021</x:v>
      </x:c>
      <x:c r="B140" s="75" t="n">
        <x:v>46267</x:v>
      </x:c>
      <x:c r="C140" s="71" t="str">
        <x:v>High</x:v>
      </x:c>
      <x:c r="D140" s="71" t="str">
        <x:v>FG-021</x:v>
      </x:c>
      <x:c r="E140" s="71" t="str">
        <x:v>RM-046</x:v>
      </x:c>
      <x:c r="F140" s="71" t="str">
        <x:v>Resin 046</x:v>
      </x:c>
      <x:c r="G140" s="76" t="n">
        <x:v>10</x:v>
      </x:c>
      <x:c r="H140" s="76" t="n">
        <x:v>25.17</x:v>
      </x:c>
      <x:c r="I140" s="76" t="n">
        <x:f>G140*H140</x:f>
        <x:v>251.70000000000002</x:v>
      </x:c>
      <x:c r="J140" s="76" t="n">
        <x:f>IFERROR(INDEX('Inventory'!$E$2:$E$71,MATCH(E140,'Inventory'!$A$2:$A$71,0)),0)</x:f>
        <x:v>15936</x:v>
      </x:c>
      <x:c r="K140" s="76" t="n">
        <x:f>IFERROR(INDEX('Inventory'!$F$2:$F$71,MATCH(E140,'Inventory'!$A$2:$A$71,0)),0)</x:f>
        <x:v>991</x:v>
      </x:c>
      <x:c r="L140" s="76" t="n">
        <x:f>SUMIFS('Open_POs'!$D$2:$D$26,'Open_POs'!$B$2:$B$26,E140,'Open_POs'!$E$2:$E$26,"&lt;="&amp;B140)</x:f>
        <x:v>0</x:v>
      </x:c>
      <x:c r="M140" s="76" t="n">
        <x:f>J140+L140</x:f>
        <x:v>15936</x:v>
      </x:c>
      <x:c r="N140" s="76" t="n">
        <x:f>SUMIFS($I$2:I140,$E$2:E140,E140)</x:f>
        <x:v>2768.7</x:v>
      </x:c>
      <x:c r="O140" s="76" t="n">
        <x:f>M140-N140</x:f>
        <x:v>13167.3</x:v>
      </x:c>
      <x:c r="P140" s="71" t="str">
        <x:f>IF(O140&lt;0,"SHORT",IF(O140&lt;K140,"BELOW TARGET","COVERED"))</x:f>
        <x:v>COVERED</x:v>
      </x:c>
      <x:c r="Q140" s="63" t="str">
        <x:f>IF(AND(P140="SHORT",COUNTIFS($E$2:E140,E140,$P$2:P140,"SHORT")=1),B140,"")</x:f>
      </x:c>
    </x:row>
    <x:row r="141" ht="15" customHeight="1">
      <x:c r="A141" s="71" t="str">
        <x:v>SO-26021</x:v>
      </x:c>
      <x:c r="B141" s="75" t="n">
        <x:v>46267</x:v>
      </x:c>
      <x:c r="C141" s="71" t="str">
        <x:v>High</x:v>
      </x:c>
      <x:c r="D141" s="71" t="str">
        <x:v>FG-021</x:v>
      </x:c>
      <x:c r="E141" s="71" t="str">
        <x:v>RM-063</x:v>
      </x:c>
      <x:c r="F141" s="71" t="str">
        <x:v>Filler 063</x:v>
      </x:c>
      <x:c r="G141" s="76" t="n">
        <x:v>10</x:v>
      </x:c>
      <x:c r="H141" s="76" t="n">
        <x:v>76.56</x:v>
      </x:c>
      <x:c r="I141" s="76" t="n">
        <x:f>G141*H141</x:f>
        <x:v>765.6</x:v>
      </x:c>
      <x:c r="J141" s="76" t="n">
        <x:f>IFERROR(INDEX('Inventory'!$E$2:$E$71,MATCH(E141,'Inventory'!$A$2:$A$71,0)),0)</x:f>
        <x:v>7508</x:v>
      </x:c>
      <x:c r="K141" s="76" t="n">
        <x:f>IFERROR(INDEX('Inventory'!$F$2:$F$71,MATCH(E141,'Inventory'!$A$2:$A$71,0)),0)</x:f>
        <x:v>1090</x:v>
      </x:c>
      <x:c r="L141" s="76" t="n">
        <x:f>SUMIFS('Open_POs'!$D$2:$D$26,'Open_POs'!$B$2:$B$26,E141,'Open_POs'!$E$2:$E$26,"&lt;="&amp;B141)</x:f>
        <x:v>5000</x:v>
      </x:c>
      <x:c r="M141" s="76" t="n">
        <x:f>J141+L141</x:f>
        <x:v>12508</x:v>
      </x:c>
      <x:c r="N141" s="76" t="n">
        <x:f>SUMIFS($I$2:I141,$E$2:E141,E141)</x:f>
        <x:v>25272.199999999997</x:v>
      </x:c>
      <x:c r="O141" s="76" t="n">
        <x:f>M141-N141</x:f>
        <x:v>-12764.199999999997</x:v>
      </x:c>
      <x:c r="P141" s="71" t="str">
        <x:f>IF(O141&lt;0,"SHORT",IF(O141&lt;K141,"BELOW TARGET","COVERED"))</x:f>
        <x:v>SHORT</x:v>
      </x:c>
      <x:c r="Q141" s="63" t="str">
        <x:f>IF(AND(P141="SHORT",COUNTIFS($E$2:E141,E141,$P$2:P141,"SHORT")=1),B141,"")</x:f>
      </x:c>
    </x:row>
    <x:row r="142" ht="15" customHeight="1">
      <x:c r="A142" s="71" t="str">
        <x:v>SO-26019</x:v>
      </x:c>
      <x:c r="B142" s="75" t="n">
        <x:v>46267</x:v>
      </x:c>
      <x:c r="C142" s="71" t="str">
        <x:v>Normal</x:v>
      </x:c>
      <x:c r="D142" s="71" t="str">
        <x:v>FG-012</x:v>
      </x:c>
      <x:c r="E142" s="71" t="str">
        <x:v>RM-009</x:v>
      </x:c>
      <x:c r="F142" s="71" t="str">
        <x:v>Additive 009</x:v>
      </x:c>
      <x:c r="G142" s="76" t="n">
        <x:v>80</x:v>
      </x:c>
      <x:c r="H142" s="76" t="n">
        <x:v>142.56</x:v>
      </x:c>
      <x:c r="I142" s="76" t="n">
        <x:f>G142*H142</x:f>
        <x:v>11404.8</x:v>
      </x:c>
      <x:c r="J142" s="76" t="n">
        <x:f>IFERROR(INDEX('Inventory'!$E$2:$E$71,MATCH(E142,'Inventory'!$A$2:$A$71,0)),0)</x:f>
        <x:v>13813</x:v>
      </x:c>
      <x:c r="K142" s="76" t="n">
        <x:f>IFERROR(INDEX('Inventory'!$F$2:$F$71,MATCH(E142,'Inventory'!$A$2:$A$71,0)),0)</x:f>
        <x:v>1377</x:v>
      </x:c>
      <x:c r="L142" s="76" t="n">
        <x:f>SUMIFS('Open_POs'!$D$2:$D$26,'Open_POs'!$B$2:$B$26,E142,'Open_POs'!$E$2:$E$26,"&lt;="&amp;B142)</x:f>
        <x:v>0</x:v>
      </x:c>
      <x:c r="M142" s="76" t="n">
        <x:f>J142+L142</x:f>
        <x:v>13813</x:v>
      </x:c>
      <x:c r="N142" s="76" t="n">
        <x:f>SUMIFS($I$2:I142,$E$2:E142,E142)</x:f>
        <x:v>21579.4</x:v>
      </x:c>
      <x:c r="O142" s="76" t="n">
        <x:f>M142-N142</x:f>
        <x:v>-7766.4000000000015</x:v>
      </x:c>
      <x:c r="P142" s="71" t="str">
        <x:f>IF(O142&lt;0,"SHORT",IF(O142&lt;K142,"BELOW TARGET","COVERED"))</x:f>
        <x:v>SHORT</x:v>
      </x:c>
      <x:c r="Q142" s="63" t="n">
        <x:f>IF(AND(P142="SHORT",COUNTIFS($E$2:E142,E142,$P$2:P142,"SHORT")=1),B142,"")</x:f>
        <x:v>46267</x:v>
      </x:c>
    </x:row>
    <x:row r="143" ht="15" customHeight="1">
      <x:c r="A143" s="71" t="str">
        <x:v>SO-26019</x:v>
      </x:c>
      <x:c r="B143" s="75" t="n">
        <x:v>46267</x:v>
      </x:c>
      <x:c r="C143" s="71" t="str">
        <x:v>Normal</x:v>
      </x:c>
      <x:c r="D143" s="71" t="str">
        <x:v>FG-012</x:v>
      </x:c>
      <x:c r="E143" s="71" t="str">
        <x:v>RM-016</x:v>
      </x:c>
      <x:c r="F143" s="71" t="str">
        <x:v>Resin 016</x:v>
      </x:c>
      <x:c r="G143" s="76" t="n">
        <x:v>80</x:v>
      </x:c>
      <x:c r="H143" s="76" t="n">
        <x:v>21.81</x:v>
      </x:c>
      <x:c r="I143" s="76" t="n">
        <x:f>G143*H143</x:f>
        <x:v>1744.8</x:v>
      </x:c>
      <x:c r="J143" s="76" t="n">
        <x:f>IFERROR(INDEX('Inventory'!$E$2:$E$71,MATCH(E143,'Inventory'!$A$2:$A$71,0)),0)</x:f>
        <x:v>116</x:v>
      </x:c>
      <x:c r="K143" s="76" t="n">
        <x:f>IFERROR(INDEX('Inventory'!$F$2:$F$71,MATCH(E143,'Inventory'!$A$2:$A$71,0)),0)</x:f>
        <x:v>888</x:v>
      </x:c>
      <x:c r="L143" s="76" t="n">
        <x:f>SUMIFS('Open_POs'!$D$2:$D$26,'Open_POs'!$B$2:$B$26,E143,'Open_POs'!$E$2:$E$26,"&lt;="&amp;B143)</x:f>
        <x:v>0</x:v>
      </x:c>
      <x:c r="M143" s="76" t="n">
        <x:f>J143+L143</x:f>
        <x:v>116</x:v>
      </x:c>
      <x:c r="N143" s="76" t="n">
        <x:f>SUMIFS($I$2:I143,$E$2:E143,E143)</x:f>
        <x:v>5567.2</x:v>
      </x:c>
      <x:c r="O143" s="76" t="n">
        <x:f>M143-N143</x:f>
        <x:v>-5451.2</x:v>
      </x:c>
      <x:c r="P143" s="71" t="str">
        <x:f>IF(O143&lt;0,"SHORT",IF(O143&lt;K143,"BELOW TARGET","COVERED"))</x:f>
        <x:v>SHORT</x:v>
      </x:c>
      <x:c r="Q143" s="63" t="str">
        <x:f>IF(AND(P143="SHORT",COUNTIFS($E$2:E143,E143,$P$2:P143,"SHORT")=1),B143,"")</x:f>
      </x:c>
    </x:row>
    <x:row r="144" ht="15" customHeight="1">
      <x:c r="A144" s="71" t="str">
        <x:v>SO-26019</x:v>
      </x:c>
      <x:c r="B144" s="75" t="n">
        <x:v>46267</x:v>
      </x:c>
      <x:c r="C144" s="71" t="str">
        <x:v>Normal</x:v>
      </x:c>
      <x:c r="D144" s="71" t="str">
        <x:v>FG-012</x:v>
      </x:c>
      <x:c r="E144" s="71" t="str">
        <x:v>RM-024</x:v>
      </x:c>
      <x:c r="F144" s="71" t="str">
        <x:v>Additive 024</x:v>
      </x:c>
      <x:c r="G144" s="76" t="n">
        <x:v>80</x:v>
      </x:c>
      <x:c r="H144" s="76" t="n">
        <x:v>20.92</x:v>
      </x:c>
      <x:c r="I144" s="76" t="n">
        <x:f>G144*H144</x:f>
        <x:v>1673.6000000000001</x:v>
      </x:c>
      <x:c r="J144" s="76" t="n">
        <x:f>IFERROR(INDEX('Inventory'!$E$2:$E$71,MATCH(E144,'Inventory'!$A$2:$A$71,0)),0)</x:f>
        <x:v>542</x:v>
      </x:c>
      <x:c r="K144" s="76" t="n">
        <x:f>IFERROR(INDEX('Inventory'!$F$2:$F$71,MATCH(E144,'Inventory'!$A$2:$A$71,0)),0)</x:f>
        <x:v>1356</x:v>
      </x:c>
      <x:c r="L144" s="76" t="n">
        <x:f>SUMIFS('Open_POs'!$D$2:$D$26,'Open_POs'!$B$2:$B$26,E144,'Open_POs'!$E$2:$E$26,"&lt;="&amp;B144)</x:f>
        <x:v>0</x:v>
      </x:c>
      <x:c r="M144" s="76" t="n">
        <x:f>J144+L144</x:f>
        <x:v>542</x:v>
      </x:c>
      <x:c r="N144" s="76" t="n">
        <x:f>SUMIFS($I$2:I144,$E$2:E144,E144)</x:f>
        <x:v>9788.4</x:v>
      </x:c>
      <x:c r="O144" s="76" t="n">
        <x:f>M144-N144</x:f>
        <x:v>-9246.4</x:v>
      </x:c>
      <x:c r="P144" s="71" t="str">
        <x:f>IF(O144&lt;0,"SHORT",IF(O144&lt;K144,"BELOW TARGET","COVERED"))</x:f>
        <x:v>SHORT</x:v>
      </x:c>
      <x:c r="Q144" s="63" t="str">
        <x:f>IF(AND(P144="SHORT",COUNTIFS($E$2:E144,E144,$P$2:P144,"SHORT")=1),B144,"")</x:f>
      </x:c>
    </x:row>
    <x:row r="145" ht="15" customHeight="1">
      <x:c r="A145" s="71" t="str">
        <x:v>SO-26019</x:v>
      </x:c>
      <x:c r="B145" s="75" t="n">
        <x:v>46267</x:v>
      </x:c>
      <x:c r="C145" s="71" t="str">
        <x:v>Normal</x:v>
      </x:c>
      <x:c r="D145" s="71" t="str">
        <x:v>FG-012</x:v>
      </x:c>
      <x:c r="E145" s="71" t="str">
        <x:v>RM-027</x:v>
      </x:c>
      <x:c r="F145" s="71" t="str">
        <x:v>Pigment 027</x:v>
      </x:c>
      <x:c r="G145" s="76" t="n">
        <x:v>80</x:v>
      </x:c>
      <x:c r="H145" s="76" t="n">
        <x:v>82.49</x:v>
      </x:c>
      <x:c r="I145" s="76" t="n">
        <x:f>G145*H145</x:f>
        <x:v>6599.2</x:v>
      </x:c>
      <x:c r="J145" s="76" t="n">
        <x:f>IFERROR(INDEX('Inventory'!$E$2:$E$71,MATCH(E145,'Inventory'!$A$2:$A$71,0)),0)</x:f>
        <x:v>5600</x:v>
      </x:c>
      <x:c r="K145" s="76" t="n">
        <x:f>IFERROR(INDEX('Inventory'!$F$2:$F$71,MATCH(E145,'Inventory'!$A$2:$A$71,0)),0)</x:f>
        <x:v>267</x:v>
      </x:c>
      <x:c r="L145" s="76" t="n">
        <x:f>SUMIFS('Open_POs'!$D$2:$D$26,'Open_POs'!$B$2:$B$26,E145,'Open_POs'!$E$2:$E$26,"&lt;="&amp;B145)</x:f>
        <x:v>0</x:v>
      </x:c>
      <x:c r="M145" s="76" t="n">
        <x:f>J145+L145</x:f>
        <x:v>5600</x:v>
      </x:c>
      <x:c r="N145" s="76" t="n">
        <x:f>SUMIFS($I$2:I145,$E$2:E145,E145)</x:f>
        <x:v>6599.2</x:v>
      </x:c>
      <x:c r="O145" s="76" t="n">
        <x:f>M145-N145</x:f>
        <x:v>-999.1999999999998</x:v>
      </x:c>
      <x:c r="P145" s="71" t="str">
        <x:f>IF(O145&lt;0,"SHORT",IF(O145&lt;K145,"BELOW TARGET","COVERED"))</x:f>
        <x:v>SHORT</x:v>
      </x:c>
      <x:c r="Q145" s="63" t="n">
        <x:f>IF(AND(P145="SHORT",COUNTIFS($E$2:E145,E145,$P$2:P145,"SHORT")=1),B145,"")</x:f>
        <x:v>46267</x:v>
      </x:c>
    </x:row>
    <x:row r="146" ht="15" customHeight="1">
      <x:c r="A146" s="71" t="str">
        <x:v>SO-26019</x:v>
      </x:c>
      <x:c r="B146" s="75" t="n">
        <x:v>46267</x:v>
      </x:c>
      <x:c r="C146" s="71" t="str">
        <x:v>Normal</x:v>
      </x:c>
      <x:c r="D146" s="71" t="str">
        <x:v>FG-012</x:v>
      </x:c>
      <x:c r="E146" s="71" t="str">
        <x:v>RM-037</x:v>
      </x:c>
      <x:c r="F146" s="71" t="str">
        <x:v>Pigment 037</x:v>
      </x:c>
      <x:c r="G146" s="76" t="n">
        <x:v>80</x:v>
      </x:c>
      <x:c r="H146" s="76" t="n">
        <x:v>140.04</x:v>
      </x:c>
      <x:c r="I146" s="76" t="n">
        <x:f>G146*H146</x:f>
        <x:v>11203.199999999999</x:v>
      </x:c>
      <x:c r="J146" s="76" t="n">
        <x:f>IFERROR(INDEX('Inventory'!$E$2:$E$71,MATCH(E146,'Inventory'!$A$2:$A$71,0)),0)</x:f>
        <x:v>14210</x:v>
      </x:c>
      <x:c r="K146" s="76" t="n">
        <x:f>IFERROR(INDEX('Inventory'!$F$2:$F$71,MATCH(E146,'Inventory'!$A$2:$A$71,0)),0)</x:f>
        <x:v>850</x:v>
      </x:c>
      <x:c r="L146" s="76" t="n">
        <x:f>SUMIFS('Open_POs'!$D$2:$D$26,'Open_POs'!$B$2:$B$26,E146,'Open_POs'!$E$2:$E$26,"&lt;="&amp;B146)</x:f>
        <x:v>0</x:v>
      </x:c>
      <x:c r="M146" s="76" t="n">
        <x:f>J146+L146</x:f>
        <x:v>14210</x:v>
      </x:c>
      <x:c r="N146" s="76" t="n">
        <x:f>SUMIFS($I$2:I146,$E$2:E146,E146)</x:f>
        <x:v>11848.699999999999</x:v>
      </x:c>
      <x:c r="O146" s="76" t="n">
        <x:f>M146-N146</x:f>
        <x:v>2361.300000000001</x:v>
      </x:c>
      <x:c r="P146" s="71" t="str">
        <x:f>IF(O146&lt;0,"SHORT",IF(O146&lt;K146,"BELOW TARGET","COVERED"))</x:f>
        <x:v>COVERED</x:v>
      </x:c>
      <x:c r="Q146" s="63" t="str">
        <x:f>IF(AND(P146="SHORT",COUNTIFS($E$2:E146,E146,$P$2:P146,"SHORT")=1),B146,"")</x:f>
      </x:c>
    </x:row>
    <x:row r="147" ht="15" customHeight="1">
      <x:c r="A147" s="71" t="str">
        <x:v>SO-26019</x:v>
      </x:c>
      <x:c r="B147" s="75" t="n">
        <x:v>46267</x:v>
      </x:c>
      <x:c r="C147" s="71" t="str">
        <x:v>Normal</x:v>
      </x:c>
      <x:c r="D147" s="71" t="str">
        <x:v>FG-012</x:v>
      </x:c>
      <x:c r="E147" s="71" t="str">
        <x:v>RM-038</x:v>
      </x:c>
      <x:c r="F147" s="71" t="str">
        <x:v>Filler 038</x:v>
      </x:c>
      <x:c r="G147" s="76" t="n">
        <x:v>80</x:v>
      </x:c>
      <x:c r="H147" s="76" t="n">
        <x:v>76.43</x:v>
      </x:c>
      <x:c r="I147" s="76" t="n">
        <x:f>G147*H147</x:f>
        <x:v>6114.400000000001</x:v>
      </x:c>
      <x:c r="J147" s="76" t="n">
        <x:f>IFERROR(INDEX('Inventory'!$E$2:$E$71,MATCH(E147,'Inventory'!$A$2:$A$71,0)),0)</x:f>
        <x:v>10042</x:v>
      </x:c>
      <x:c r="K147" s="76" t="n">
        <x:f>IFERROR(INDEX('Inventory'!$F$2:$F$71,MATCH(E147,'Inventory'!$A$2:$A$71,0)),0)</x:f>
        <x:v>1452</x:v>
      </x:c>
      <x:c r="L147" s="76" t="n">
        <x:f>SUMIFS('Open_POs'!$D$2:$D$26,'Open_POs'!$B$2:$B$26,E147,'Open_POs'!$E$2:$E$26,"&lt;="&amp;B147)</x:f>
        <x:v>0</x:v>
      </x:c>
      <x:c r="M147" s="76" t="n">
        <x:f>J147+L147</x:f>
        <x:v>10042</x:v>
      </x:c>
      <x:c r="N147" s="76" t="n">
        <x:f>SUMIFS($I$2:I147,$E$2:E147,E147)</x:f>
        <x:v>15964.600000000002</x:v>
      </x:c>
      <x:c r="O147" s="76" t="n">
        <x:f>M147-N147</x:f>
        <x:v>-5922.600000000002</x:v>
      </x:c>
      <x:c r="P147" s="71" t="str">
        <x:f>IF(O147&lt;0,"SHORT",IF(O147&lt;K147,"BELOW TARGET","COVERED"))</x:f>
        <x:v>SHORT</x:v>
      </x:c>
      <x:c r="Q147" s="63" t="n">
        <x:f>IF(AND(P147="SHORT",COUNTIFS($E$2:E147,E147,$P$2:P147,"SHORT")=1),B147,"")</x:f>
        <x:v>46267</x:v>
      </x:c>
    </x:row>
    <x:row r="148" ht="15" customHeight="1">
      <x:c r="A148" s="71" t="str">
        <x:v>SO-26019</x:v>
      </x:c>
      <x:c r="B148" s="75" t="n">
        <x:v>46267</x:v>
      </x:c>
      <x:c r="C148" s="71" t="str">
        <x:v>Normal</x:v>
      </x:c>
      <x:c r="D148" s="71" t="str">
        <x:v>FG-012</x:v>
      </x:c>
      <x:c r="E148" s="71" t="str">
        <x:v>RM-039</x:v>
      </x:c>
      <x:c r="F148" s="71" t="str">
        <x:v>Additive 039</x:v>
      </x:c>
      <x:c r="G148" s="76" t="n">
        <x:v>80</x:v>
      </x:c>
      <x:c r="H148" s="76" t="n">
        <x:v>125.26</x:v>
      </x:c>
      <x:c r="I148" s="76" t="n">
        <x:f>G148*H148</x:f>
        <x:v>10020.800000000001</x:v>
      </x:c>
      <x:c r="J148" s="76" t="n">
        <x:f>IFERROR(INDEX('Inventory'!$E$2:$E$71,MATCH(E148,'Inventory'!$A$2:$A$71,0)),0)</x:f>
        <x:v>15593</x:v>
      </x:c>
      <x:c r="K148" s="76" t="n">
        <x:f>IFERROR(INDEX('Inventory'!$F$2:$F$71,MATCH(E148,'Inventory'!$A$2:$A$71,0)),0)</x:f>
        <x:v>1243</x:v>
      </x:c>
      <x:c r="L148" s="76" t="n">
        <x:f>SUMIFS('Open_POs'!$D$2:$D$26,'Open_POs'!$B$2:$B$26,E148,'Open_POs'!$E$2:$E$26,"&lt;="&amp;B148)</x:f>
        <x:v>0</x:v>
      </x:c>
      <x:c r="M148" s="76" t="n">
        <x:f>J148+L148</x:f>
        <x:v>15593</x:v>
      </x:c>
      <x:c r="N148" s="76" t="n">
        <x:f>SUMIFS($I$2:I148,$E$2:E148,E148)</x:f>
        <x:v>18289.6</x:v>
      </x:c>
      <x:c r="O148" s="76" t="n">
        <x:f>M148-N148</x:f>
        <x:v>-2696.5999999999985</x:v>
      </x:c>
      <x:c r="P148" s="71" t="str">
        <x:f>IF(O148&lt;0,"SHORT",IF(O148&lt;K148,"BELOW TARGET","COVERED"))</x:f>
        <x:v>SHORT</x:v>
      </x:c>
      <x:c r="Q148" s="63" t="n">
        <x:f>IF(AND(P148="SHORT",COUNTIFS($E$2:E148,E148,$P$2:P148,"SHORT")=1),B148,"")</x:f>
        <x:v>46267</x:v>
      </x:c>
    </x:row>
    <x:row r="149" ht="15" customHeight="1">
      <x:c r="A149" s="71" t="str">
        <x:v>SO-26019</x:v>
      </x:c>
      <x:c r="B149" s="75" t="n">
        <x:v>46267</x:v>
      </x:c>
      <x:c r="C149" s="71" t="str">
        <x:v>Normal</x:v>
      </x:c>
      <x:c r="D149" s="71" t="str">
        <x:v>FG-012</x:v>
      </x:c>
      <x:c r="E149" s="71" t="str">
        <x:v>RM-057</x:v>
      </x:c>
      <x:c r="F149" s="71" t="str">
        <x:v>Pigment 057</x:v>
      </x:c>
      <x:c r="G149" s="76" t="n">
        <x:v>80</x:v>
      </x:c>
      <x:c r="H149" s="76" t="n">
        <x:v>37.88</x:v>
      </x:c>
      <x:c r="I149" s="76" t="n">
        <x:f>G149*H149</x:f>
        <x:v>3030.4</x:v>
      </x:c>
      <x:c r="J149" s="76" t="n">
        <x:f>IFERROR(INDEX('Inventory'!$E$2:$E$71,MATCH(E149,'Inventory'!$A$2:$A$71,0)),0)</x:f>
        <x:v>5779</x:v>
      </x:c>
      <x:c r="K149" s="76" t="n">
        <x:f>IFERROR(INDEX('Inventory'!$F$2:$F$71,MATCH(E149,'Inventory'!$A$2:$A$71,0)),0)</x:f>
        <x:v>1148</x:v>
      </x:c>
      <x:c r="L149" s="76" t="n">
        <x:f>SUMIFS('Open_POs'!$D$2:$D$26,'Open_POs'!$B$2:$B$26,E149,'Open_POs'!$E$2:$E$26,"&lt;="&amp;B149)</x:f>
        <x:v>0</x:v>
      </x:c>
      <x:c r="M149" s="76" t="n">
        <x:f>J149+L149</x:f>
        <x:v>5779</x:v>
      </x:c>
      <x:c r="N149" s="76" t="n">
        <x:f>SUMIFS($I$2:I149,$E$2:E149,E149)</x:f>
        <x:v>3655.6000000000004</x:v>
      </x:c>
      <x:c r="O149" s="76" t="n">
        <x:f>M149-N149</x:f>
        <x:v>2123.3999999999996</x:v>
      </x:c>
      <x:c r="P149" s="71" t="str">
        <x:f>IF(O149&lt;0,"SHORT",IF(O149&lt;K149,"BELOW TARGET","COVERED"))</x:f>
        <x:v>COVERED</x:v>
      </x:c>
      <x:c r="Q149" s="63" t="str">
        <x:f>IF(AND(P149="SHORT",COUNTIFS($E$2:E149,E149,$P$2:P149,"SHORT")=1),B149,"")</x:f>
      </x:c>
    </x:row>
    <x:row r="150" ht="15" customHeight="1">
      <x:c r="A150" s="71" t="str">
        <x:v>SO-26031</x:v>
      </x:c>
      <x:c r="B150" s="75" t="n">
        <x:v>46268</x:v>
      </x:c>
      <x:c r="C150" s="71" t="str">
        <x:v>High</x:v>
      </x:c>
      <x:c r="D150" s="71" t="str">
        <x:v>FG-015</x:v>
      </x:c>
      <x:c r="E150" s="71" t="str">
        <x:v>RM-024</x:v>
      </x:c>
      <x:c r="F150" s="71" t="str">
        <x:v>Additive 024</x:v>
      </x:c>
      <x:c r="G150" s="76" t="n">
        <x:v>100</x:v>
      </x:c>
      <x:c r="H150" s="76" t="n">
        <x:v>92.47</x:v>
      </x:c>
      <x:c r="I150" s="76" t="n">
        <x:f>G150*H150</x:f>
        <x:v>9247</x:v>
      </x:c>
      <x:c r="J150" s="76" t="n">
        <x:f>IFERROR(INDEX('Inventory'!$E$2:$E$71,MATCH(E150,'Inventory'!$A$2:$A$71,0)),0)</x:f>
        <x:v>542</x:v>
      </x:c>
      <x:c r="K150" s="76" t="n">
        <x:f>IFERROR(INDEX('Inventory'!$F$2:$F$71,MATCH(E150,'Inventory'!$A$2:$A$71,0)),0)</x:f>
        <x:v>1356</x:v>
      </x:c>
      <x:c r="L150" s="76" t="n">
        <x:f>SUMIFS('Open_POs'!$D$2:$D$26,'Open_POs'!$B$2:$B$26,E150,'Open_POs'!$E$2:$E$26,"&lt;="&amp;B150)</x:f>
        <x:v>0</x:v>
      </x:c>
      <x:c r="M150" s="76" t="n">
        <x:f>J150+L150</x:f>
        <x:v>542</x:v>
      </x:c>
      <x:c r="N150" s="76" t="n">
        <x:f>SUMIFS($I$2:I150,$E$2:E150,E150)</x:f>
        <x:v>19035.4</x:v>
      </x:c>
      <x:c r="O150" s="76" t="n">
        <x:f>M150-N150</x:f>
        <x:v>-18493.4</x:v>
      </x:c>
      <x:c r="P150" s="71" t="str">
        <x:f>IF(O150&lt;0,"SHORT",IF(O150&lt;K150,"BELOW TARGET","COVERED"))</x:f>
        <x:v>SHORT</x:v>
      </x:c>
      <x:c r="Q150" s="63" t="str">
        <x:f>IF(AND(P150="SHORT",COUNTIFS($E$2:E150,E150,$P$2:P150,"SHORT")=1),B150,"")</x:f>
      </x:c>
    </x:row>
    <x:row r="151" ht="15" customHeight="1">
      <x:c r="A151" s="71" t="str">
        <x:v>SO-26031</x:v>
      </x:c>
      <x:c r="B151" s="75" t="n">
        <x:v>46268</x:v>
      </x:c>
      <x:c r="C151" s="71" t="str">
        <x:v>High</x:v>
      </x:c>
      <x:c r="D151" s="71" t="str">
        <x:v>FG-015</x:v>
      </x:c>
      <x:c r="E151" s="71" t="str">
        <x:v>RM-033</x:v>
      </x:c>
      <x:c r="F151" s="71" t="str">
        <x:v>Filler 033</x:v>
      </x:c>
      <x:c r="G151" s="76" t="n">
        <x:v>100</x:v>
      </x:c>
      <x:c r="H151" s="76" t="n">
        <x:v>45.14</x:v>
      </x:c>
      <x:c r="I151" s="76" t="n">
        <x:f>G151*H151</x:f>
        <x:v>4514</x:v>
      </x:c>
      <x:c r="J151" s="76" t="n">
        <x:f>IFERROR(INDEX('Inventory'!$E$2:$E$71,MATCH(E151,'Inventory'!$A$2:$A$71,0)),0)</x:f>
        <x:v>4157</x:v>
      </x:c>
      <x:c r="K151" s="76" t="n">
        <x:f>IFERROR(INDEX('Inventory'!$F$2:$F$71,MATCH(E151,'Inventory'!$A$2:$A$71,0)),0)</x:f>
        <x:v>1030</x:v>
      </x:c>
      <x:c r="L151" s="76" t="n">
        <x:f>SUMIFS('Open_POs'!$D$2:$D$26,'Open_POs'!$B$2:$B$26,E151,'Open_POs'!$E$2:$E$26,"&lt;="&amp;B151)</x:f>
        <x:v>0</x:v>
      </x:c>
      <x:c r="M151" s="76" t="n">
        <x:f>J151+L151</x:f>
        <x:v>4157</x:v>
      </x:c>
      <x:c r="N151" s="76" t="n">
        <x:f>SUMIFS($I$2:I151,$E$2:E151,E151)</x:f>
        <x:v>6579</x:v>
      </x:c>
      <x:c r="O151" s="76" t="n">
        <x:f>M151-N151</x:f>
        <x:v>-2422</x:v>
      </x:c>
      <x:c r="P151" s="71" t="str">
        <x:f>IF(O151&lt;0,"SHORT",IF(O151&lt;K151,"BELOW TARGET","COVERED"))</x:f>
        <x:v>SHORT</x:v>
      </x:c>
      <x:c r="Q151" s="63" t="n">
        <x:f>IF(AND(P151="SHORT",COUNTIFS($E$2:E151,E151,$P$2:P151,"SHORT")=1),B151,"")</x:f>
        <x:v>46268</x:v>
      </x:c>
    </x:row>
    <x:row r="152" ht="15" customHeight="1">
      <x:c r="A152" s="71" t="str">
        <x:v>SO-26031</x:v>
      </x:c>
      <x:c r="B152" s="75" t="n">
        <x:v>46268</x:v>
      </x:c>
      <x:c r="C152" s="71" t="str">
        <x:v>High</x:v>
      </x:c>
      <x:c r="D152" s="71" t="str">
        <x:v>FG-015</x:v>
      </x:c>
      <x:c r="E152" s="71" t="str">
        <x:v>RM-039</x:v>
      </x:c>
      <x:c r="F152" s="71" t="str">
        <x:v>Additive 039</x:v>
      </x:c>
      <x:c r="G152" s="76" t="n">
        <x:v>100</x:v>
      </x:c>
      <x:c r="H152" s="76" t="n">
        <x:v>47.84</x:v>
      </x:c>
      <x:c r="I152" s="76" t="n">
        <x:f>G152*H152</x:f>
        <x:v>4784</x:v>
      </x:c>
      <x:c r="J152" s="76" t="n">
        <x:f>IFERROR(INDEX('Inventory'!$E$2:$E$71,MATCH(E152,'Inventory'!$A$2:$A$71,0)),0)</x:f>
        <x:v>15593</x:v>
      </x:c>
      <x:c r="K152" s="76" t="n">
        <x:f>IFERROR(INDEX('Inventory'!$F$2:$F$71,MATCH(E152,'Inventory'!$A$2:$A$71,0)),0)</x:f>
        <x:v>1243</x:v>
      </x:c>
      <x:c r="L152" s="76" t="n">
        <x:f>SUMIFS('Open_POs'!$D$2:$D$26,'Open_POs'!$B$2:$B$26,E152,'Open_POs'!$E$2:$E$26,"&lt;="&amp;B152)</x:f>
        <x:v>0</x:v>
      </x:c>
      <x:c r="M152" s="76" t="n">
        <x:f>J152+L152</x:f>
        <x:v>15593</x:v>
      </x:c>
      <x:c r="N152" s="76" t="n">
        <x:f>SUMIFS($I$2:I152,$E$2:E152,E152)</x:f>
        <x:v>23073.6</x:v>
      </x:c>
      <x:c r="O152" s="76" t="n">
        <x:f>M152-N152</x:f>
        <x:v>-7480.5999999999985</x:v>
      </x:c>
      <x:c r="P152" s="71" t="str">
        <x:f>IF(O152&lt;0,"SHORT",IF(O152&lt;K152,"BELOW TARGET","COVERED"))</x:f>
        <x:v>SHORT</x:v>
      </x:c>
      <x:c r="Q152" s="63" t="str">
        <x:f>IF(AND(P152="SHORT",COUNTIFS($E$2:E152,E152,$P$2:P152,"SHORT")=1),B152,"")</x:f>
      </x:c>
    </x:row>
    <x:row r="153" ht="15" customHeight="1">
      <x:c r="A153" s="71" t="str">
        <x:v>SO-26031</x:v>
      </x:c>
      <x:c r="B153" s="75" t="n">
        <x:v>46268</x:v>
      </x:c>
      <x:c r="C153" s="71" t="str">
        <x:v>High</x:v>
      </x:c>
      <x:c r="D153" s="71" t="str">
        <x:v>FG-015</x:v>
      </x:c>
      <x:c r="E153" s="71" t="str">
        <x:v>RM-058</x:v>
      </x:c>
      <x:c r="F153" s="71" t="str">
        <x:v>Filler 058</x:v>
      </x:c>
      <x:c r="G153" s="76" t="n">
        <x:v>100</x:v>
      </x:c>
      <x:c r="H153" s="76" t="n">
        <x:v>115.77</x:v>
      </x:c>
      <x:c r="I153" s="76" t="n">
        <x:f>G153*H153</x:f>
        <x:v>11577</x:v>
      </x:c>
      <x:c r="J153" s="76" t="n">
        <x:f>IFERROR(INDEX('Inventory'!$E$2:$E$71,MATCH(E153,'Inventory'!$A$2:$A$71,0)),0)</x:f>
        <x:v>9929</x:v>
      </x:c>
      <x:c r="K153" s="76" t="n">
        <x:f>IFERROR(INDEX('Inventory'!$F$2:$F$71,MATCH(E153,'Inventory'!$A$2:$A$71,0)),0)</x:f>
        <x:v>701</x:v>
      </x:c>
      <x:c r="L153" s="76" t="n">
        <x:f>SUMIFS('Open_POs'!$D$2:$D$26,'Open_POs'!$B$2:$B$26,E153,'Open_POs'!$E$2:$E$26,"&lt;="&amp;B153)</x:f>
        <x:v>0</x:v>
      </x:c>
      <x:c r="M153" s="76" t="n">
        <x:f>J153+L153</x:f>
        <x:v>9929</x:v>
      </x:c>
      <x:c r="N153" s="76" t="n">
        <x:f>SUMIFS($I$2:I153,$E$2:E153,E153)</x:f>
        <x:v>25706</x:v>
      </x:c>
      <x:c r="O153" s="76" t="n">
        <x:f>M153-N153</x:f>
        <x:v>-15777</x:v>
      </x:c>
      <x:c r="P153" s="71" t="str">
        <x:f>IF(O153&lt;0,"SHORT",IF(O153&lt;K153,"BELOW TARGET","COVERED"))</x:f>
        <x:v>SHORT</x:v>
      </x:c>
      <x:c r="Q153" s="63" t="str">
        <x:f>IF(AND(P153="SHORT",COUNTIFS($E$2:E153,E153,$P$2:P153,"SHORT")=1),B153,"")</x:f>
      </x:c>
    </x:row>
    <x:row r="154" ht="15" customHeight="1">
      <x:c r="A154" s="71" t="str">
        <x:v>SO-26031</x:v>
      </x:c>
      <x:c r="B154" s="75" t="n">
        <x:v>46268</x:v>
      </x:c>
      <x:c r="C154" s="71" t="str">
        <x:v>High</x:v>
      </x:c>
      <x:c r="D154" s="71" t="str">
        <x:v>FG-015</x:v>
      </x:c>
      <x:c r="E154" s="71" t="str">
        <x:v>RM-067</x:v>
      </x:c>
      <x:c r="F154" s="71" t="str">
        <x:v>Pigment 067</x:v>
      </x:c>
      <x:c r="G154" s="76" t="n">
        <x:v>100</x:v>
      </x:c>
      <x:c r="H154" s="76" t="n">
        <x:v>46.54</x:v>
      </x:c>
      <x:c r="I154" s="76" t="n">
        <x:f>G154*H154</x:f>
        <x:v>4654</x:v>
      </x:c>
      <x:c r="J154" s="76" t="n">
        <x:f>IFERROR(INDEX('Inventory'!$E$2:$E$71,MATCH(E154,'Inventory'!$A$2:$A$71,0)),0)</x:f>
        <x:v>10786</x:v>
      </x:c>
      <x:c r="K154" s="76" t="n">
        <x:f>IFERROR(INDEX('Inventory'!$F$2:$F$71,MATCH(E154,'Inventory'!$A$2:$A$71,0)),0)</x:f>
        <x:v>335</x:v>
      </x:c>
      <x:c r="L154" s="76" t="n">
        <x:f>SUMIFS('Open_POs'!$D$2:$D$26,'Open_POs'!$B$2:$B$26,E154,'Open_POs'!$E$2:$E$26,"&lt;="&amp;B154)</x:f>
        <x:v>0</x:v>
      </x:c>
      <x:c r="M154" s="76" t="n">
        <x:f>J154+L154</x:f>
        <x:v>10786</x:v>
      </x:c>
      <x:c r="N154" s="76" t="n">
        <x:f>SUMIFS($I$2:I154,$E$2:E154,E154)</x:f>
        <x:v>7842.4</x:v>
      </x:c>
      <x:c r="O154" s="76" t="n">
        <x:f>M154-N154</x:f>
        <x:v>2943.6000000000004</x:v>
      </x:c>
      <x:c r="P154" s="71" t="str">
        <x:f>IF(O154&lt;0,"SHORT",IF(O154&lt;K154,"BELOW TARGET","COVERED"))</x:f>
        <x:v>COVERED</x:v>
      </x:c>
      <x:c r="Q154" s="63" t="str">
        <x:f>IF(AND(P154="SHORT",COUNTIFS($E$2:E154,E154,$P$2:P154,"SHORT")=1),B154,"")</x:f>
      </x:c>
    </x:row>
    <x:row r="155" ht="15" customHeight="1">
      <x:c r="A155" s="71" t="str">
        <x:v>SO-26011</x:v>
      </x:c>
      <x:c r="B155" s="75" t="n">
        <x:v>46268</x:v>
      </x:c>
      <x:c r="C155" s="71" t="str">
        <x:v>Normal</x:v>
      </x:c>
      <x:c r="D155" s="71" t="str">
        <x:v>FG-007</x:v>
      </x:c>
      <x:c r="E155" s="71" t="str">
        <x:v>RM-006</x:v>
      </x:c>
      <x:c r="F155" s="71" t="str">
        <x:v>Resin 006</x:v>
      </x:c>
      <x:c r="G155" s="76" t="n">
        <x:v>10</x:v>
      </x:c>
      <x:c r="H155" s="76" t="n">
        <x:v>63.64</x:v>
      </x:c>
      <x:c r="I155" s="76" t="n">
        <x:f>G155*H155</x:f>
        <x:v>636.4</x:v>
      </x:c>
      <x:c r="J155" s="76" t="n">
        <x:f>IFERROR(INDEX('Inventory'!$E$2:$E$71,MATCH(E155,'Inventory'!$A$2:$A$71,0)),0)</x:f>
        <x:v>1295</x:v>
      </x:c>
      <x:c r="K155" s="76" t="n">
        <x:f>IFERROR(INDEX('Inventory'!$F$2:$F$71,MATCH(E155,'Inventory'!$A$2:$A$71,0)),0)</x:f>
        <x:v>599</x:v>
      </x:c>
      <x:c r="L155" s="76" t="n">
        <x:f>SUMIFS('Open_POs'!$D$2:$D$26,'Open_POs'!$B$2:$B$26,E155,'Open_POs'!$E$2:$E$26,"&lt;="&amp;B155)</x:f>
        <x:v>0</x:v>
      </x:c>
      <x:c r="M155" s="76" t="n">
        <x:f>J155+L155</x:f>
        <x:v>1295</x:v>
      </x:c>
      <x:c r="N155" s="76" t="n">
        <x:f>SUMIFS($I$2:I155,$E$2:E155,E155)</x:f>
        <x:v>1191.9</x:v>
      </x:c>
      <x:c r="O155" s="76" t="n">
        <x:f>M155-N155</x:f>
        <x:v>103.09999999999991</x:v>
      </x:c>
      <x:c r="P155" s="71" t="str">
        <x:f>IF(O155&lt;0,"SHORT",IF(O155&lt;K155,"BELOW TARGET","COVERED"))</x:f>
        <x:v>BELOW TARGET</x:v>
      </x:c>
      <x:c r="Q155" s="63" t="str">
        <x:f>IF(AND(P155="SHORT",COUNTIFS($E$2:E155,E155,$P$2:P155,"SHORT")=1),B155,"")</x:f>
      </x:c>
    </x:row>
    <x:row r="156" ht="15" customHeight="1">
      <x:c r="A156" s="71" t="str">
        <x:v>SO-26011</x:v>
      </x:c>
      <x:c r="B156" s="75" t="n">
        <x:v>46268</x:v>
      </x:c>
      <x:c r="C156" s="71" t="str">
        <x:v>Normal</x:v>
      </x:c>
      <x:c r="D156" s="71" t="str">
        <x:v>FG-007</x:v>
      </x:c>
      <x:c r="E156" s="71" t="str">
        <x:v>RM-007</x:v>
      </x:c>
      <x:c r="F156" s="71" t="str">
        <x:v>Pigment 007</x:v>
      </x:c>
      <x:c r="G156" s="76" t="n">
        <x:v>10</x:v>
      </x:c>
      <x:c r="H156" s="76" t="n">
        <x:v>37.48</x:v>
      </x:c>
      <x:c r="I156" s="76" t="n">
        <x:f>G156*H156</x:f>
        <x:v>374.79999999999995</x:v>
      </x:c>
      <x:c r="J156" s="76" t="n">
        <x:f>IFERROR(INDEX('Inventory'!$E$2:$E$71,MATCH(E156,'Inventory'!$A$2:$A$71,0)),0)</x:f>
        <x:v>9115</x:v>
      </x:c>
      <x:c r="K156" s="76" t="n">
        <x:f>IFERROR(INDEX('Inventory'!$F$2:$F$71,MATCH(E156,'Inventory'!$A$2:$A$71,0)),0)</x:f>
        <x:v>230</x:v>
      </x:c>
      <x:c r="L156" s="76" t="n">
        <x:f>SUMIFS('Open_POs'!$D$2:$D$26,'Open_POs'!$B$2:$B$26,E156,'Open_POs'!$E$2:$E$26,"&lt;="&amp;B156)</x:f>
        <x:v>0</x:v>
      </x:c>
      <x:c r="M156" s="76" t="n">
        <x:f>J156+L156</x:f>
        <x:v>9115</x:v>
      </x:c>
      <x:c r="N156" s="76" t="n">
        <x:f>SUMIFS($I$2:I156,$E$2:E156,E156)</x:f>
        <x:v>6837.599999999999</x:v>
      </x:c>
      <x:c r="O156" s="76" t="n">
        <x:f>M156-N156</x:f>
        <x:v>2277.4000000000005</x:v>
      </x:c>
      <x:c r="P156" s="71" t="str">
        <x:f>IF(O156&lt;0,"SHORT",IF(O156&lt;K156,"BELOW TARGET","COVERED"))</x:f>
        <x:v>COVERED</x:v>
      </x:c>
      <x:c r="Q156" s="63" t="str">
        <x:f>IF(AND(P156="SHORT",COUNTIFS($E$2:E156,E156,$P$2:P156,"SHORT")=1),B156,"")</x:f>
      </x:c>
    </x:row>
    <x:row r="157" ht="15" customHeight="1">
      <x:c r="A157" s="71" t="str">
        <x:v>SO-26011</x:v>
      </x:c>
      <x:c r="B157" s="75" t="n">
        <x:v>46268</x:v>
      </x:c>
      <x:c r="C157" s="71" t="str">
        <x:v>Normal</x:v>
      </x:c>
      <x:c r="D157" s="71" t="str">
        <x:v>FG-007</x:v>
      </x:c>
      <x:c r="E157" s="71" t="str">
        <x:v>RM-037</x:v>
      </x:c>
      <x:c r="F157" s="71" t="str">
        <x:v>Pigment 037</x:v>
      </x:c>
      <x:c r="G157" s="76" t="n">
        <x:v>10</x:v>
      </x:c>
      <x:c r="H157" s="76" t="n">
        <x:v>67.58</x:v>
      </x:c>
      <x:c r="I157" s="76" t="n">
        <x:f>G157*H157</x:f>
        <x:v>675.8</x:v>
      </x:c>
      <x:c r="J157" s="76" t="n">
        <x:f>IFERROR(INDEX('Inventory'!$E$2:$E$71,MATCH(E157,'Inventory'!$A$2:$A$71,0)),0)</x:f>
        <x:v>14210</x:v>
      </x:c>
      <x:c r="K157" s="76" t="n">
        <x:f>IFERROR(INDEX('Inventory'!$F$2:$F$71,MATCH(E157,'Inventory'!$A$2:$A$71,0)),0)</x:f>
        <x:v>850</x:v>
      </x:c>
      <x:c r="L157" s="76" t="n">
        <x:f>SUMIFS('Open_POs'!$D$2:$D$26,'Open_POs'!$B$2:$B$26,E157,'Open_POs'!$E$2:$E$26,"&lt;="&amp;B157)</x:f>
        <x:v>0</x:v>
      </x:c>
      <x:c r="M157" s="76" t="n">
        <x:f>J157+L157</x:f>
        <x:v>14210</x:v>
      </x:c>
      <x:c r="N157" s="76" t="n">
        <x:f>SUMIFS($I$2:I157,$E$2:E157,E157)</x:f>
        <x:v>12524.499999999998</x:v>
      </x:c>
      <x:c r="O157" s="76" t="n">
        <x:f>M157-N157</x:f>
        <x:v>1685.5000000000018</x:v>
      </x:c>
      <x:c r="P157" s="71" t="str">
        <x:f>IF(O157&lt;0,"SHORT",IF(O157&lt;K157,"BELOW TARGET","COVERED"))</x:f>
        <x:v>COVERED</x:v>
      </x:c>
      <x:c r="Q157" s="63" t="str">
        <x:f>IF(AND(P157="SHORT",COUNTIFS($E$2:E157,E157,$P$2:P157,"SHORT")=1),B157,"")</x:f>
      </x:c>
    </x:row>
    <x:row r="158" ht="15" customHeight="1">
      <x:c r="A158" s="71" t="str">
        <x:v>SO-26011</x:v>
      </x:c>
      <x:c r="B158" s="75" t="n">
        <x:v>46268</x:v>
      </x:c>
      <x:c r="C158" s="71" t="str">
        <x:v>Normal</x:v>
      </x:c>
      <x:c r="D158" s="71" t="str">
        <x:v>FG-007</x:v>
      </x:c>
      <x:c r="E158" s="71" t="str">
        <x:v>RM-041</x:v>
      </x:c>
      <x:c r="F158" s="71" t="str">
        <x:v>Resin 041</x:v>
      </x:c>
      <x:c r="G158" s="76" t="n">
        <x:v>10</x:v>
      </x:c>
      <x:c r="H158" s="76" t="n">
        <x:v>41.77</x:v>
      </x:c>
      <x:c r="I158" s="76" t="n">
        <x:f>G158*H158</x:f>
        <x:v>417.70000000000005</x:v>
      </x:c>
      <x:c r="J158" s="76" t="n">
        <x:f>IFERROR(INDEX('Inventory'!$E$2:$E$71,MATCH(E158,'Inventory'!$A$2:$A$71,0)),0)</x:f>
        <x:v>4635</x:v>
      </x:c>
      <x:c r="K158" s="76" t="n">
        <x:f>IFERROR(INDEX('Inventory'!$F$2:$F$71,MATCH(E158,'Inventory'!$A$2:$A$71,0)),0)</x:f>
        <x:v>987</x:v>
      </x:c>
      <x:c r="L158" s="76" t="n">
        <x:f>SUMIFS('Open_POs'!$D$2:$D$26,'Open_POs'!$B$2:$B$26,E158,'Open_POs'!$E$2:$E$26,"&lt;="&amp;B158)</x:f>
        <x:v>0</x:v>
      </x:c>
      <x:c r="M158" s="76" t="n">
        <x:f>J158+L158</x:f>
        <x:v>4635</x:v>
      </x:c>
      <x:c r="N158" s="76" t="n">
        <x:f>SUMIFS($I$2:I158,$E$2:E158,E158)</x:f>
        <x:v>2823.1000000000004</x:v>
      </x:c>
      <x:c r="O158" s="76" t="n">
        <x:f>M158-N158</x:f>
        <x:v>1811.8999999999996</x:v>
      </x:c>
      <x:c r="P158" s="71" t="str">
        <x:f>IF(O158&lt;0,"SHORT",IF(O158&lt;K158,"BELOW TARGET","COVERED"))</x:f>
        <x:v>COVERED</x:v>
      </x:c>
      <x:c r="Q158" s="63" t="str">
        <x:f>IF(AND(P158="SHORT",COUNTIFS($E$2:E158,E158,$P$2:P158,"SHORT")=1),B158,"")</x:f>
      </x:c>
    </x:row>
    <x:row r="159" ht="15" customHeight="1">
      <x:c r="A159" s="71" t="str">
        <x:v>SO-26011</x:v>
      </x:c>
      <x:c r="B159" s="75" t="n">
        <x:v>46268</x:v>
      </x:c>
      <x:c r="C159" s="71" t="str">
        <x:v>Normal</x:v>
      </x:c>
      <x:c r="D159" s="71" t="str">
        <x:v>FG-007</x:v>
      </x:c>
      <x:c r="E159" s="71" t="str">
        <x:v>RM-050</x:v>
      </x:c>
      <x:c r="F159" s="71" t="str">
        <x:v>Packaging 050</x:v>
      </x:c>
      <x:c r="G159" s="76" t="n">
        <x:v>10</x:v>
      </x:c>
      <x:c r="H159" s="76" t="n">
        <x:v>79.38</x:v>
      </x:c>
      <x:c r="I159" s="76" t="n">
        <x:f>G159*H159</x:f>
        <x:v>793.8</x:v>
      </x:c>
      <x:c r="J159" s="76" t="n">
        <x:f>IFERROR(INDEX('Inventory'!$E$2:$E$71,MATCH(E159,'Inventory'!$A$2:$A$71,0)),0)</x:f>
        <x:v>5370</x:v>
      </x:c>
      <x:c r="K159" s="76" t="n">
        <x:f>IFERROR(INDEX('Inventory'!$F$2:$F$71,MATCH(E159,'Inventory'!$A$2:$A$71,0)),0)</x:f>
        <x:v>1210</x:v>
      </x:c>
      <x:c r="L159" s="76" t="n">
        <x:f>SUMIFS('Open_POs'!$D$2:$D$26,'Open_POs'!$B$2:$B$26,E159,'Open_POs'!$E$2:$E$26,"&lt;="&amp;B159)</x:f>
        <x:v>0</x:v>
      </x:c>
      <x:c r="M159" s="76" t="n">
        <x:f>J159+L159</x:f>
        <x:v>5370</x:v>
      </x:c>
      <x:c r="N159" s="76" t="n">
        <x:f>SUMIFS($I$2:I159,$E$2:E159,E159)</x:f>
        <x:v>5126.2</x:v>
      </x:c>
      <x:c r="O159" s="76" t="n">
        <x:f>M159-N159</x:f>
        <x:v>243.80000000000018</x:v>
      </x:c>
      <x:c r="P159" s="71" t="str">
        <x:f>IF(O159&lt;0,"SHORT",IF(O159&lt;K159,"BELOW TARGET","COVERED"))</x:f>
        <x:v>BELOW TARGET</x:v>
      </x:c>
      <x:c r="Q159" s="63" t="str">
        <x:f>IF(AND(P159="SHORT",COUNTIFS($E$2:E159,E159,$P$2:P159,"SHORT")=1),B159,"")</x:f>
      </x:c>
    </x:row>
    <x:row r="160" ht="15" customHeight="1">
      <x:c r="A160" s="71" t="str">
        <x:v>SO-26011</x:v>
      </x:c>
      <x:c r="B160" s="75" t="n">
        <x:v>46268</x:v>
      </x:c>
      <x:c r="C160" s="71" t="str">
        <x:v>Normal</x:v>
      </x:c>
      <x:c r="D160" s="71" t="str">
        <x:v>FG-007</x:v>
      </x:c>
      <x:c r="E160" s="71" t="str">
        <x:v>RM-052</x:v>
      </x:c>
      <x:c r="F160" s="71" t="str">
        <x:v>Pigment 052</x:v>
      </x:c>
      <x:c r="G160" s="76" t="n">
        <x:v>10</x:v>
      </x:c>
      <x:c r="H160" s="76" t="n">
        <x:v>30.43</x:v>
      </x:c>
      <x:c r="I160" s="76" t="n">
        <x:f>G160*H160</x:f>
        <x:v>304.3</x:v>
      </x:c>
      <x:c r="J160" s="76" t="n">
        <x:f>IFERROR(INDEX('Inventory'!$E$2:$E$71,MATCH(E160,'Inventory'!$A$2:$A$71,0)),0)</x:f>
        <x:v>6374</x:v>
      </x:c>
      <x:c r="K160" s="76" t="n">
        <x:f>IFERROR(INDEX('Inventory'!$F$2:$F$71,MATCH(E160,'Inventory'!$A$2:$A$71,0)),0)</x:f>
        <x:v>949</x:v>
      </x:c>
      <x:c r="L160" s="76" t="n">
        <x:f>SUMIFS('Open_POs'!$D$2:$D$26,'Open_POs'!$B$2:$B$26,E160,'Open_POs'!$E$2:$E$26,"&lt;="&amp;B160)</x:f>
        <x:v>0</x:v>
      </x:c>
      <x:c r="M160" s="76" t="n">
        <x:f>J160+L160</x:f>
        <x:v>6374</x:v>
      </x:c>
      <x:c r="N160" s="76" t="n">
        <x:f>SUMIFS($I$2:I160,$E$2:E160,E160)</x:f>
        <x:v>8546.9</x:v>
      </x:c>
      <x:c r="O160" s="76" t="n">
        <x:f>M160-N160</x:f>
        <x:v>-2172.8999999999996</x:v>
      </x:c>
      <x:c r="P160" s="71" t="str">
        <x:f>IF(O160&lt;0,"SHORT",IF(O160&lt;K160,"BELOW TARGET","COVERED"))</x:f>
        <x:v>SHORT</x:v>
      </x:c>
      <x:c r="Q160" s="63" t="str">
        <x:f>IF(AND(P160="SHORT",COUNTIFS($E$2:E160,E160,$P$2:P160,"SHORT")=1),B160,"")</x:f>
      </x:c>
    </x:row>
    <x:row r="161" ht="15" customHeight="1">
      <x:c r="A161" s="71" t="str">
        <x:v>SO-26011</x:v>
      </x:c>
      <x:c r="B161" s="75" t="n">
        <x:v>46268</x:v>
      </x:c>
      <x:c r="C161" s="71" t="str">
        <x:v>Normal</x:v>
      </x:c>
      <x:c r="D161" s="71" t="str">
        <x:v>FG-007</x:v>
      </x:c>
      <x:c r="E161" s="71" t="str">
        <x:v>RM-063</x:v>
      </x:c>
      <x:c r="F161" s="71" t="str">
        <x:v>Filler 063</x:v>
      </x:c>
      <x:c r="G161" s="76" t="n">
        <x:v>10</x:v>
      </x:c>
      <x:c r="H161" s="76" t="n">
        <x:v>104.71</x:v>
      </x:c>
      <x:c r="I161" s="76" t="n">
        <x:f>G161*H161</x:f>
        <x:v>1047.1</x:v>
      </x:c>
      <x:c r="J161" s="76" t="n">
        <x:f>IFERROR(INDEX('Inventory'!$E$2:$E$71,MATCH(E161,'Inventory'!$A$2:$A$71,0)),0)</x:f>
        <x:v>7508</x:v>
      </x:c>
      <x:c r="K161" s="76" t="n">
        <x:f>IFERROR(INDEX('Inventory'!$F$2:$F$71,MATCH(E161,'Inventory'!$A$2:$A$71,0)),0)</x:f>
        <x:v>1090</x:v>
      </x:c>
      <x:c r="L161" s="76" t="n">
        <x:f>SUMIFS('Open_POs'!$D$2:$D$26,'Open_POs'!$B$2:$B$26,E161,'Open_POs'!$E$2:$E$26,"&lt;="&amp;B161)</x:f>
        <x:v>5000</x:v>
      </x:c>
      <x:c r="M161" s="76" t="n">
        <x:f>J161+L161</x:f>
        <x:v>12508</x:v>
      </x:c>
      <x:c r="N161" s="76" t="n">
        <x:f>SUMIFS($I$2:I161,$E$2:E161,E161)</x:f>
        <x:v>26319.299999999996</x:v>
      </x:c>
      <x:c r="O161" s="76" t="n">
        <x:f>M161-N161</x:f>
        <x:v>-13811.299999999996</x:v>
      </x:c>
      <x:c r="P161" s="71" t="str">
        <x:f>IF(O161&lt;0,"SHORT",IF(O161&lt;K161,"BELOW TARGET","COVERED"))</x:f>
        <x:v>SHORT</x:v>
      </x:c>
      <x:c r="Q161" s="63" t="str">
        <x:f>IF(AND(P161="SHORT",COUNTIFS($E$2:E161,E161,$P$2:P161,"SHORT")=1),B161,"")</x:f>
      </x:c>
    </x:row>
    <x:row r="162" ht="15" customHeight="1">
      <x:c r="A162" s="71" t="str">
        <x:v>SO-26011</x:v>
      </x:c>
      <x:c r="B162" s="75" t="n">
        <x:v>46268</x:v>
      </x:c>
      <x:c r="C162" s="71" t="str">
        <x:v>Normal</x:v>
      </x:c>
      <x:c r="D162" s="71" t="str">
        <x:v>FG-007</x:v>
      </x:c>
      <x:c r="E162" s="71" t="str">
        <x:v>RM-065</x:v>
      </x:c>
      <x:c r="F162" s="71" t="str">
        <x:v>Packaging 065</x:v>
      </x:c>
      <x:c r="G162" s="76" t="n">
        <x:v>10</x:v>
      </x:c>
      <x:c r="H162" s="76" t="n">
        <x:v>117.99</x:v>
      </x:c>
      <x:c r="I162" s="76" t="n">
        <x:f>G162*H162</x:f>
        <x:v>1179.8999999999999</x:v>
      </x:c>
      <x:c r="J162" s="76" t="n">
        <x:f>IFERROR(INDEX('Inventory'!$E$2:$E$71,MATCH(E162,'Inventory'!$A$2:$A$71,0)),0)</x:f>
        <x:v>9289</x:v>
      </x:c>
      <x:c r="K162" s="76" t="n">
        <x:f>IFERROR(INDEX('Inventory'!$F$2:$F$71,MATCH(E162,'Inventory'!$A$2:$A$71,0)),0)</x:f>
        <x:v>282</x:v>
      </x:c>
      <x:c r="L162" s="76" t="n">
        <x:f>SUMIFS('Open_POs'!$D$2:$D$26,'Open_POs'!$B$2:$B$26,E162,'Open_POs'!$E$2:$E$26,"&lt;="&amp;B162)</x:f>
        <x:v>0</x:v>
      </x:c>
      <x:c r="M162" s="76" t="n">
        <x:f>J162+L162</x:f>
        <x:v>9289</x:v>
      </x:c>
      <x:c r="N162" s="76" t="n">
        <x:f>SUMIFS($I$2:I162,$E$2:E162,E162)</x:f>
        <x:v>1179.8999999999999</x:v>
      </x:c>
      <x:c r="O162" s="76" t="n">
        <x:f>M162-N162</x:f>
        <x:v>8109.1</x:v>
      </x:c>
      <x:c r="P162" s="71" t="str">
        <x:f>IF(O162&lt;0,"SHORT",IF(O162&lt;K162,"BELOW TARGET","COVERED"))</x:f>
        <x:v>COVERED</x:v>
      </x:c>
      <x:c r="Q162" s="63" t="str">
        <x:f>IF(AND(P162="SHORT",COUNTIFS($E$2:E162,E162,$P$2:P162,"SHORT")=1),B162,"")</x:f>
      </x:c>
    </x:row>
    <x:row r="163" ht="15" customHeight="1">
      <x:c r="A163" s="71" t="str">
        <x:v>SO-26027</x:v>
      </x:c>
      <x:c r="B163" s="75" t="n">
        <x:v>46268</x:v>
      </x:c>
      <x:c r="C163" s="71" t="str">
        <x:v>Normal</x:v>
      </x:c>
      <x:c r="D163" s="71" t="str">
        <x:v>FG-001</x:v>
      </x:c>
      <x:c r="E163" s="71" t="str">
        <x:v>RM-008</x:v>
      </x:c>
      <x:c r="F163" s="71" t="str">
        <x:v>Filler 008</x:v>
      </x:c>
      <x:c r="G163" s="76" t="n">
        <x:v>10</x:v>
      </x:c>
      <x:c r="H163" s="76" t="n">
        <x:v>50.81</x:v>
      </x:c>
      <x:c r="I163" s="76" t="n">
        <x:f>G163*H163</x:f>
        <x:v>508.1</x:v>
      </x:c>
      <x:c r="J163" s="76" t="n">
        <x:f>IFERROR(INDEX('Inventory'!$E$2:$E$71,MATCH(E163,'Inventory'!$A$2:$A$71,0)),0)</x:f>
        <x:v>430</x:v>
      </x:c>
      <x:c r="K163" s="76" t="n">
        <x:f>IFERROR(INDEX('Inventory'!$F$2:$F$71,MATCH(E163,'Inventory'!$A$2:$A$71,0)),0)</x:f>
        <x:v>1037</x:v>
      </x:c>
      <x:c r="L163" s="76" t="n">
        <x:f>SUMIFS('Open_POs'!$D$2:$D$26,'Open_POs'!$B$2:$B$26,E163,'Open_POs'!$E$2:$E$26,"&lt;="&amp;B163)</x:f>
        <x:v>0</x:v>
      </x:c>
      <x:c r="M163" s="76" t="n">
        <x:f>J163+L163</x:f>
        <x:v>430</x:v>
      </x:c>
      <x:c r="N163" s="76" t="n">
        <x:f>SUMIFS($I$2:I163,$E$2:E163,E163)</x:f>
        <x:v>12738.4</x:v>
      </x:c>
      <x:c r="O163" s="76" t="n">
        <x:f>M163-N163</x:f>
        <x:v>-12308.4</x:v>
      </x:c>
      <x:c r="P163" s="71" t="str">
        <x:f>IF(O163&lt;0,"SHORT",IF(O163&lt;K163,"BELOW TARGET","COVERED"))</x:f>
        <x:v>SHORT</x:v>
      </x:c>
      <x:c r="Q163" s="63" t="str">
        <x:f>IF(AND(P163="SHORT",COUNTIFS($E$2:E163,E163,$P$2:P163,"SHORT")=1),B163,"")</x:f>
      </x:c>
    </x:row>
    <x:row r="164" ht="15" customHeight="1">
      <x:c r="A164" s="71" t="str">
        <x:v>SO-26027</x:v>
      </x:c>
      <x:c r="B164" s="75" t="n">
        <x:v>46268</x:v>
      </x:c>
      <x:c r="C164" s="71" t="str">
        <x:v>Normal</x:v>
      </x:c>
      <x:c r="D164" s="71" t="str">
        <x:v>FG-001</x:v>
      </x:c>
      <x:c r="E164" s="71" t="str">
        <x:v>RM-025</x:v>
      </x:c>
      <x:c r="F164" s="71" t="str">
        <x:v>Packaging 025</x:v>
      </x:c>
      <x:c r="G164" s="76" t="n">
        <x:v>10</x:v>
      </x:c>
      <x:c r="H164" s="76" t="n">
        <x:v>15.13</x:v>
      </x:c>
      <x:c r="I164" s="76" t="n">
        <x:f>G164*H164</x:f>
        <x:v>151.3</x:v>
      </x:c>
      <x:c r="J164" s="76" t="n">
        <x:f>IFERROR(INDEX('Inventory'!$E$2:$E$71,MATCH(E164,'Inventory'!$A$2:$A$71,0)),0)</x:f>
        <x:v>2469</x:v>
      </x:c>
      <x:c r="K164" s="76" t="n">
        <x:f>IFERROR(INDEX('Inventory'!$F$2:$F$71,MATCH(E164,'Inventory'!$A$2:$A$71,0)),0)</x:f>
        <x:v>229</x:v>
      </x:c>
      <x:c r="L164" s="76" t="n">
        <x:f>SUMIFS('Open_POs'!$D$2:$D$26,'Open_POs'!$B$2:$B$26,E164,'Open_POs'!$E$2:$E$26,"&lt;="&amp;B164)</x:f>
        <x:v>0</x:v>
      </x:c>
      <x:c r="M164" s="76" t="n">
        <x:f>J164+L164</x:f>
        <x:v>2469</x:v>
      </x:c>
      <x:c r="N164" s="76" t="n">
        <x:f>SUMIFS($I$2:I164,$E$2:E164,E164)</x:f>
        <x:v>16160.199999999997</x:v>
      </x:c>
      <x:c r="O164" s="76" t="n">
        <x:f>M164-N164</x:f>
        <x:v>-13691.199999999997</x:v>
      </x:c>
      <x:c r="P164" s="71" t="str">
        <x:f>IF(O164&lt;0,"SHORT",IF(O164&lt;K164,"BELOW TARGET","COVERED"))</x:f>
        <x:v>SHORT</x:v>
      </x:c>
      <x:c r="Q164" s="63" t="str">
        <x:f>IF(AND(P164="SHORT",COUNTIFS($E$2:E164,E164,$P$2:P164,"SHORT")=1),B164,"")</x:f>
      </x:c>
    </x:row>
    <x:row r="165" ht="15" customHeight="1">
      <x:c r="A165" s="71" t="str">
        <x:v>SO-26027</x:v>
      </x:c>
      <x:c r="B165" s="75" t="n">
        <x:v>46268</x:v>
      </x:c>
      <x:c r="C165" s="71" t="str">
        <x:v>Normal</x:v>
      </x:c>
      <x:c r="D165" s="71" t="str">
        <x:v>FG-001</x:v>
      </x:c>
      <x:c r="E165" s="71" t="str">
        <x:v>RM-036</x:v>
      </x:c>
      <x:c r="F165" s="71" t="str">
        <x:v>Resin 036</x:v>
      </x:c>
      <x:c r="G165" s="76" t="n">
        <x:v>10</x:v>
      </x:c>
      <x:c r="H165" s="76" t="n">
        <x:v>37.95</x:v>
      </x:c>
      <x:c r="I165" s="76" t="n">
        <x:f>G165*H165</x:f>
        <x:v>379.5</x:v>
      </x:c>
      <x:c r="J165" s="76" t="n">
        <x:f>IFERROR(INDEX('Inventory'!$E$2:$E$71,MATCH(E165,'Inventory'!$A$2:$A$71,0)),0)</x:f>
        <x:v>12427</x:v>
      </x:c>
      <x:c r="K165" s="76" t="n">
        <x:f>IFERROR(INDEX('Inventory'!$F$2:$F$71,MATCH(E165,'Inventory'!$A$2:$A$71,0)),0)</x:f>
        <x:v>1016</x:v>
      </x:c>
      <x:c r="L165" s="76" t="n">
        <x:f>SUMIFS('Open_POs'!$D$2:$D$26,'Open_POs'!$B$2:$B$26,E165,'Open_POs'!$E$2:$E$26,"&lt;="&amp;B165)</x:f>
        <x:v>1000</x:v>
      </x:c>
      <x:c r="M165" s="76" t="n">
        <x:f>J165+L165</x:f>
        <x:v>13427</x:v>
      </x:c>
      <x:c r="N165" s="76" t="n">
        <x:f>SUMIFS($I$2:I165,$E$2:E165,E165)</x:f>
        <x:v>12230.2</x:v>
      </x:c>
      <x:c r="O165" s="76" t="n">
        <x:f>M165-N165</x:f>
        <x:v>1196.7999999999993</x:v>
      </x:c>
      <x:c r="P165" s="71" t="str">
        <x:f>IF(O165&lt;0,"SHORT",IF(O165&lt;K165,"BELOW TARGET","COVERED"))</x:f>
        <x:v>COVERED</x:v>
      </x:c>
      <x:c r="Q165" s="63" t="str">
        <x:f>IF(AND(P165="SHORT",COUNTIFS($E$2:E165,E165,$P$2:P165,"SHORT")=1),B165,"")</x:f>
      </x:c>
    </x:row>
    <x:row r="166" ht="15" customHeight="1">
      <x:c r="A166" s="71" t="str">
        <x:v>SO-26027</x:v>
      </x:c>
      <x:c r="B166" s="75" t="n">
        <x:v>46268</x:v>
      </x:c>
      <x:c r="C166" s="71" t="str">
        <x:v>Normal</x:v>
      </x:c>
      <x:c r="D166" s="71" t="str">
        <x:v>FG-001</x:v>
      </x:c>
      <x:c r="E166" s="71" t="str">
        <x:v>RM-048</x:v>
      </x:c>
      <x:c r="F166" s="71" t="str">
        <x:v>Filler 048</x:v>
      </x:c>
      <x:c r="G166" s="76" t="n">
        <x:v>10</x:v>
      </x:c>
      <x:c r="H166" s="76" t="n">
        <x:v>11.19</x:v>
      </x:c>
      <x:c r="I166" s="76" t="n">
        <x:f>G166*H166</x:f>
        <x:v>111.89999999999999</x:v>
      </x:c>
      <x:c r="J166" s="76" t="n">
        <x:f>IFERROR(INDEX('Inventory'!$E$2:$E$71,MATCH(E166,'Inventory'!$A$2:$A$71,0)),0)</x:f>
        <x:v>637</x:v>
      </x:c>
      <x:c r="K166" s="76" t="n">
        <x:f>IFERROR(INDEX('Inventory'!$F$2:$F$71,MATCH(E166,'Inventory'!$A$2:$A$71,0)),0)</x:f>
        <x:v>888</x:v>
      </x:c>
      <x:c r="L166" s="76" t="n">
        <x:f>SUMIFS('Open_POs'!$D$2:$D$26,'Open_POs'!$B$2:$B$26,E166,'Open_POs'!$E$2:$E$26,"&lt;="&amp;B166)</x:f>
        <x:v>1000</x:v>
      </x:c>
      <x:c r="M166" s="76" t="n">
        <x:f>J166+L166</x:f>
        <x:v>1637</x:v>
      </x:c>
      <x:c r="N166" s="76" t="n">
        <x:f>SUMIFS($I$2:I166,$E$2:E166,E166)</x:f>
        <x:v>7868.499999999999</x:v>
      </x:c>
      <x:c r="O166" s="76" t="n">
        <x:f>M166-N166</x:f>
        <x:v>-6231.499999999999</x:v>
      </x:c>
      <x:c r="P166" s="71" t="str">
        <x:f>IF(O166&lt;0,"SHORT",IF(O166&lt;K166,"BELOW TARGET","COVERED"))</x:f>
        <x:v>SHORT</x:v>
      </x:c>
      <x:c r="Q166" s="63" t="str">
        <x:f>IF(AND(P166="SHORT",COUNTIFS($E$2:E166,E166,$P$2:P166,"SHORT")=1),B166,"")</x:f>
      </x:c>
    </x:row>
    <x:row r="167" ht="15" customHeight="1">
      <x:c r="A167" s="71" t="str">
        <x:v>SO-26027</x:v>
      </x:c>
      <x:c r="B167" s="75" t="n">
        <x:v>46268</x:v>
      </x:c>
      <x:c r="C167" s="71" t="str">
        <x:v>Normal</x:v>
      </x:c>
      <x:c r="D167" s="71" t="str">
        <x:v>FG-001</x:v>
      </x:c>
      <x:c r="E167" s="71" t="str">
        <x:v>RM-066</x:v>
      </x:c>
      <x:c r="F167" s="71" t="str">
        <x:v>Resin 066</x:v>
      </x:c>
      <x:c r="G167" s="76" t="n">
        <x:v>10</x:v>
      </x:c>
      <x:c r="H167" s="76" t="n">
        <x:v>38.59</x:v>
      </x:c>
      <x:c r="I167" s="76" t="n">
        <x:f>G167*H167</x:f>
        <x:v>385.90000000000003</x:v>
      </x:c>
      <x:c r="J167" s="76" t="n">
        <x:f>IFERROR(INDEX('Inventory'!$E$2:$E$71,MATCH(E167,'Inventory'!$A$2:$A$71,0)),0)</x:f>
        <x:v>10876</x:v>
      </x:c>
      <x:c r="K167" s="76" t="n">
        <x:f>IFERROR(INDEX('Inventory'!$F$2:$F$71,MATCH(E167,'Inventory'!$A$2:$A$71,0)),0)</x:f>
        <x:v>567</x:v>
      </x:c>
      <x:c r="L167" s="76" t="n">
        <x:f>SUMIFS('Open_POs'!$D$2:$D$26,'Open_POs'!$B$2:$B$26,E167,'Open_POs'!$E$2:$E$26,"&lt;="&amp;B167)</x:f>
        <x:v>0</x:v>
      </x:c>
      <x:c r="M167" s="76" t="n">
        <x:f>J167+L167</x:f>
        <x:v>10876</x:v>
      </x:c>
      <x:c r="N167" s="76" t="n">
        <x:f>SUMIFS($I$2:I167,$E$2:E167,E167)</x:f>
        <x:v>4584.8</x:v>
      </x:c>
      <x:c r="O167" s="76" t="n">
        <x:f>M167-N167</x:f>
        <x:v>6291.2</x:v>
      </x:c>
      <x:c r="P167" s="71" t="str">
        <x:f>IF(O167&lt;0,"SHORT",IF(O167&lt;K167,"BELOW TARGET","COVERED"))</x:f>
        <x:v>COVERED</x:v>
      </x:c>
      <x:c r="Q167" s="63" t="str">
        <x:f>IF(AND(P167="SHORT",COUNTIFS($E$2:E167,E167,$P$2:P167,"SHORT")=1),B167,"")</x:f>
      </x:c>
    </x:row>
    <x:row r="168" ht="15" customHeight="1">
      <x:c r="A168" s="71" t="str">
        <x:v>SO-26036</x:v>
      </x:c>
      <x:c r="B168" s="75" t="n">
        <x:v>46268</x:v>
      </x:c>
      <x:c r="C168" s="71" t="str">
        <x:v>Normal</x:v>
      </x:c>
      <x:c r="D168" s="71" t="str">
        <x:v>FG-010</x:v>
      </x:c>
      <x:c r="E168" s="71" t="str">
        <x:v>RM-009</x:v>
      </x:c>
      <x:c r="F168" s="71" t="str">
        <x:v>Additive 009</x:v>
      </x:c>
      <x:c r="G168" s="76" t="n">
        <x:v>80</x:v>
      </x:c>
      <x:c r="H168" s="76" t="n">
        <x:v>81.38</x:v>
      </x:c>
      <x:c r="I168" s="76" t="n">
        <x:f>G168*H168</x:f>
        <x:v>6510.4</x:v>
      </x:c>
      <x:c r="J168" s="76" t="n">
        <x:f>IFERROR(INDEX('Inventory'!$E$2:$E$71,MATCH(E168,'Inventory'!$A$2:$A$71,0)),0)</x:f>
        <x:v>13813</x:v>
      </x:c>
      <x:c r="K168" s="76" t="n">
        <x:f>IFERROR(INDEX('Inventory'!$F$2:$F$71,MATCH(E168,'Inventory'!$A$2:$A$71,0)),0)</x:f>
        <x:v>1377</x:v>
      </x:c>
      <x:c r="L168" s="76" t="n">
        <x:f>SUMIFS('Open_POs'!$D$2:$D$26,'Open_POs'!$B$2:$B$26,E168,'Open_POs'!$E$2:$E$26,"&lt;="&amp;B168)</x:f>
        <x:v>0</x:v>
      </x:c>
      <x:c r="M168" s="76" t="n">
        <x:f>J168+L168</x:f>
        <x:v>13813</x:v>
      </x:c>
      <x:c r="N168" s="76" t="n">
        <x:f>SUMIFS($I$2:I168,$E$2:E168,E168)</x:f>
        <x:v>28089.800000000003</x:v>
      </x:c>
      <x:c r="O168" s="76" t="n">
        <x:f>M168-N168</x:f>
        <x:v>-14276.800000000003</x:v>
      </x:c>
      <x:c r="P168" s="71" t="str">
        <x:f>IF(O168&lt;0,"SHORT",IF(O168&lt;K168,"BELOW TARGET","COVERED"))</x:f>
        <x:v>SHORT</x:v>
      </x:c>
      <x:c r="Q168" s="63" t="str">
        <x:f>IF(AND(P168="SHORT",COUNTIFS($E$2:E168,E168,$P$2:P168,"SHORT")=1),B168,"")</x:f>
      </x:c>
    </x:row>
    <x:row r="169" ht="15" customHeight="1">
      <x:c r="A169" s="71" t="str">
        <x:v>SO-26036</x:v>
      </x:c>
      <x:c r="B169" s="75" t="n">
        <x:v>46268</x:v>
      </x:c>
      <x:c r="C169" s="71" t="str">
        <x:v>Normal</x:v>
      </x:c>
      <x:c r="D169" s="71" t="str">
        <x:v>FG-010</x:v>
      </x:c>
      <x:c r="E169" s="71" t="str">
        <x:v>RM-011</x:v>
      </x:c>
      <x:c r="F169" s="71" t="str">
        <x:v>Resin 011</x:v>
      </x:c>
      <x:c r="G169" s="76" t="n">
        <x:v>80</x:v>
      </x:c>
      <x:c r="H169" s="76" t="n">
        <x:v>64.9</x:v>
      </x:c>
      <x:c r="I169" s="76" t="n">
        <x:f>G169*H169</x:f>
        <x:v>5192</x:v>
      </x:c>
      <x:c r="J169" s="76" t="n">
        <x:f>IFERROR(INDEX('Inventory'!$E$2:$E$71,MATCH(E169,'Inventory'!$A$2:$A$71,0)),0)</x:f>
        <x:v>16410</x:v>
      </x:c>
      <x:c r="K169" s="76" t="n">
        <x:f>IFERROR(INDEX('Inventory'!$F$2:$F$71,MATCH(E169,'Inventory'!$A$2:$A$71,0)),0)</x:f>
        <x:v>1275</x:v>
      </x:c>
      <x:c r="L169" s="76" t="n">
        <x:f>SUMIFS('Open_POs'!$D$2:$D$26,'Open_POs'!$B$2:$B$26,E169,'Open_POs'!$E$2:$E$26,"&lt;="&amp;B169)</x:f>
        <x:v>0</x:v>
      </x:c>
      <x:c r="M169" s="76" t="n">
        <x:f>J169+L169</x:f>
        <x:v>16410</x:v>
      </x:c>
      <x:c r="N169" s="76" t="n">
        <x:f>SUMIFS($I$2:I169,$E$2:E169,E169)</x:f>
        <x:v>14706.2</x:v>
      </x:c>
      <x:c r="O169" s="76" t="n">
        <x:f>M169-N169</x:f>
        <x:v>1703.7999999999993</x:v>
      </x:c>
      <x:c r="P169" s="71" t="str">
        <x:f>IF(O169&lt;0,"SHORT",IF(O169&lt;K169,"BELOW TARGET","COVERED"))</x:f>
        <x:v>COVERED</x:v>
      </x:c>
      <x:c r="Q169" s="63" t="str">
        <x:f>IF(AND(P169="SHORT",COUNTIFS($E$2:E169,E169,$P$2:P169,"SHORT")=1),B169,"")</x:f>
      </x:c>
    </x:row>
    <x:row r="170" ht="15" customHeight="1">
      <x:c r="A170" s="71" t="str">
        <x:v>SO-26036</x:v>
      </x:c>
      <x:c r="B170" s="75" t="n">
        <x:v>46268</x:v>
      </x:c>
      <x:c r="C170" s="71" t="str">
        <x:v>Normal</x:v>
      </x:c>
      <x:c r="D170" s="71" t="str">
        <x:v>FG-010</x:v>
      </x:c>
      <x:c r="E170" s="71" t="str">
        <x:v>RM-039</x:v>
      </x:c>
      <x:c r="F170" s="71" t="str">
        <x:v>Additive 039</x:v>
      </x:c>
      <x:c r="G170" s="76" t="n">
        <x:v>80</x:v>
      </x:c>
      <x:c r="H170" s="76" t="n">
        <x:v>103.36</x:v>
      </x:c>
      <x:c r="I170" s="76" t="n">
        <x:f>G170*H170</x:f>
        <x:v>8268.8</x:v>
      </x:c>
      <x:c r="J170" s="76" t="n">
        <x:f>IFERROR(INDEX('Inventory'!$E$2:$E$71,MATCH(E170,'Inventory'!$A$2:$A$71,0)),0)</x:f>
        <x:v>15593</x:v>
      </x:c>
      <x:c r="K170" s="76" t="n">
        <x:f>IFERROR(INDEX('Inventory'!$F$2:$F$71,MATCH(E170,'Inventory'!$A$2:$A$71,0)),0)</x:f>
        <x:v>1243</x:v>
      </x:c>
      <x:c r="L170" s="76" t="n">
        <x:f>SUMIFS('Open_POs'!$D$2:$D$26,'Open_POs'!$B$2:$B$26,E170,'Open_POs'!$E$2:$E$26,"&lt;="&amp;B170)</x:f>
        <x:v>0</x:v>
      </x:c>
      <x:c r="M170" s="76" t="n">
        <x:f>J170+L170</x:f>
        <x:v>15593</x:v>
      </x:c>
      <x:c r="N170" s="76" t="n">
        <x:f>SUMIFS($I$2:I170,$E$2:E170,E170)</x:f>
        <x:v>31342.399999999998</x:v>
      </x:c>
      <x:c r="O170" s="76" t="n">
        <x:f>M170-N170</x:f>
        <x:v>-15749.399999999998</x:v>
      </x:c>
      <x:c r="P170" s="71" t="str">
        <x:f>IF(O170&lt;0,"SHORT",IF(O170&lt;K170,"BELOW TARGET","COVERED"))</x:f>
        <x:v>SHORT</x:v>
      </x:c>
      <x:c r="Q170" s="63" t="str">
        <x:f>IF(AND(P170="SHORT",COUNTIFS($E$2:E170,E170,$P$2:P170,"SHORT")=1),B170,"")</x:f>
      </x:c>
    </x:row>
    <x:row r="171" ht="15" customHeight="1">
      <x:c r="A171" s="71" t="str">
        <x:v>SO-26036</x:v>
      </x:c>
      <x:c r="B171" s="75" t="n">
        <x:v>46268</x:v>
      </x:c>
      <x:c r="C171" s="71" t="str">
        <x:v>Normal</x:v>
      </x:c>
      <x:c r="D171" s="71" t="str">
        <x:v>FG-010</x:v>
      </x:c>
      <x:c r="E171" s="71" t="str">
        <x:v>RM-042</x:v>
      </x:c>
      <x:c r="F171" s="71" t="str">
        <x:v>Pigment 042</x:v>
      </x:c>
      <x:c r="G171" s="76" t="n">
        <x:v>80</x:v>
      </x:c>
      <x:c r="H171" s="76" t="n">
        <x:v>148.6</x:v>
      </x:c>
      <x:c r="I171" s="76" t="n">
        <x:f>G171*H171</x:f>
        <x:v>11888</x:v>
      </x:c>
      <x:c r="J171" s="76" t="n">
        <x:f>IFERROR(INDEX('Inventory'!$E$2:$E$71,MATCH(E171,'Inventory'!$A$2:$A$71,0)),0)</x:f>
        <x:v>14280</x:v>
      </x:c>
      <x:c r="K171" s="76" t="n">
        <x:f>IFERROR(INDEX('Inventory'!$F$2:$F$71,MATCH(E171,'Inventory'!$A$2:$A$71,0)),0)</x:f>
        <x:v>553</x:v>
      </x:c>
      <x:c r="L171" s="76" t="n">
        <x:f>SUMIFS('Open_POs'!$D$2:$D$26,'Open_POs'!$B$2:$B$26,E171,'Open_POs'!$E$2:$E$26,"&lt;="&amp;B171)</x:f>
        <x:v>0</x:v>
      </x:c>
      <x:c r="M171" s="76" t="n">
        <x:f>J171+L171</x:f>
        <x:v>14280</x:v>
      </x:c>
      <x:c r="N171" s="76" t="n">
        <x:f>SUMIFS($I$2:I171,$E$2:E171,E171)</x:f>
        <x:v>23776</x:v>
      </x:c>
      <x:c r="O171" s="76" t="n">
        <x:f>M171-N171</x:f>
        <x:v>-9496</x:v>
      </x:c>
      <x:c r="P171" s="71" t="str">
        <x:f>IF(O171&lt;0,"SHORT",IF(O171&lt;K171,"BELOW TARGET","COVERED"))</x:f>
        <x:v>SHORT</x:v>
      </x:c>
      <x:c r="Q171" s="63" t="n">
        <x:f>IF(AND(P171="SHORT",COUNTIFS($E$2:E171,E171,$P$2:P171,"SHORT")=1),B171,"")</x:f>
        <x:v>46268</x:v>
      </x:c>
    </x:row>
    <x:row r="172" ht="15" customHeight="1">
      <x:c r="A172" s="71" t="str">
        <x:v>SO-26036</x:v>
      </x:c>
      <x:c r="B172" s="75" t="n">
        <x:v>46268</x:v>
      </x:c>
      <x:c r="C172" s="71" t="str">
        <x:v>Normal</x:v>
      </x:c>
      <x:c r="D172" s="71" t="str">
        <x:v>FG-010</x:v>
      </x:c>
      <x:c r="E172" s="71" t="str">
        <x:v>RM-053</x:v>
      </x:c>
      <x:c r="F172" s="71" t="str">
        <x:v>Filler 053</x:v>
      </x:c>
      <x:c r="G172" s="76" t="n">
        <x:v>80</x:v>
      </x:c>
      <x:c r="H172" s="76" t="n">
        <x:v>62.69</x:v>
      </x:c>
      <x:c r="I172" s="76" t="n">
        <x:f>G172*H172</x:f>
        <x:v>5015.2</x:v>
      </x:c>
      <x:c r="J172" s="76" t="n">
        <x:f>IFERROR(INDEX('Inventory'!$E$2:$E$71,MATCH(E172,'Inventory'!$A$2:$A$71,0)),0)</x:f>
        <x:v>3714</x:v>
      </x:c>
      <x:c r="K172" s="76" t="n">
        <x:f>IFERROR(INDEX('Inventory'!$F$2:$F$71,MATCH(E172,'Inventory'!$A$2:$A$71,0)),0)</x:f>
        <x:v>773</x:v>
      </x:c>
      <x:c r="L172" s="76" t="n">
        <x:f>SUMIFS('Open_POs'!$D$2:$D$26,'Open_POs'!$B$2:$B$26,E172,'Open_POs'!$E$2:$E$26,"&lt;="&amp;B172)</x:f>
        <x:v>0</x:v>
      </x:c>
      <x:c r="M172" s="76" t="n">
        <x:f>J172+L172</x:f>
        <x:v>3714</x:v>
      </x:c>
      <x:c r="N172" s="76" t="n">
        <x:f>SUMIFS($I$2:I172,$E$2:E172,E172)</x:f>
        <x:v>15927.8</x:v>
      </x:c>
      <x:c r="O172" s="76" t="n">
        <x:f>M172-N172</x:f>
        <x:v>-12213.8</x:v>
      </x:c>
      <x:c r="P172" s="71" t="str">
        <x:f>IF(O172&lt;0,"SHORT",IF(O172&lt;K172,"BELOW TARGET","COVERED"))</x:f>
        <x:v>SHORT</x:v>
      </x:c>
      <x:c r="Q172" s="63" t="str">
        <x:f>IF(AND(P172="SHORT",COUNTIFS($E$2:E172,E172,$P$2:P172,"SHORT")=1),B172,"")</x:f>
      </x:c>
    </x:row>
    <x:row r="173" ht="15" customHeight="1">
      <x:c r="A173" s="71" t="str">
        <x:v>SO-26036</x:v>
      </x:c>
      <x:c r="B173" s="75" t="n">
        <x:v>46268</x:v>
      </x:c>
      <x:c r="C173" s="71" t="str">
        <x:v>Normal</x:v>
      </x:c>
      <x:c r="D173" s="71" t="str">
        <x:v>FG-010</x:v>
      </x:c>
      <x:c r="E173" s="71" t="str">
        <x:v>RM-055</x:v>
      </x:c>
      <x:c r="F173" s="71" t="str">
        <x:v>Packaging 055</x:v>
      </x:c>
      <x:c r="G173" s="76" t="n">
        <x:v>80</x:v>
      </x:c>
      <x:c r="H173" s="76" t="n">
        <x:v>29.99</x:v>
      </x:c>
      <x:c r="I173" s="76" t="n">
        <x:f>G173*H173</x:f>
        <x:v>2399.2</x:v>
      </x:c>
      <x:c r="J173" s="76" t="n">
        <x:f>IFERROR(INDEX('Inventory'!$E$2:$E$71,MATCH(E173,'Inventory'!$A$2:$A$71,0)),0)</x:f>
        <x:v>6551</x:v>
      </x:c>
      <x:c r="K173" s="76" t="n">
        <x:f>IFERROR(INDEX('Inventory'!$F$2:$F$71,MATCH(E173,'Inventory'!$A$2:$A$71,0)),0)</x:f>
        <x:v>738</x:v>
      </x:c>
      <x:c r="L173" s="76" t="n">
        <x:f>SUMIFS('Open_POs'!$D$2:$D$26,'Open_POs'!$B$2:$B$26,E173,'Open_POs'!$E$2:$E$26,"&lt;="&amp;B173)</x:f>
        <x:v>5000</x:v>
      </x:c>
      <x:c r="M173" s="76" t="n">
        <x:f>J173+L173</x:f>
        <x:v>11551</x:v>
      </x:c>
      <x:c r="N173" s="76" t="n">
        <x:f>SUMIFS($I$2:I173,$E$2:E173,E173)</x:f>
        <x:v>4798.4</x:v>
      </x:c>
      <x:c r="O173" s="76" t="n">
        <x:f>M173-N173</x:f>
        <x:v>6752.6</x:v>
      </x:c>
      <x:c r="P173" s="71" t="str">
        <x:f>IF(O173&lt;0,"SHORT",IF(O173&lt;K173,"BELOW TARGET","COVERED"))</x:f>
        <x:v>COVERED</x:v>
      </x:c>
      <x:c r="Q173" s="63" t="str">
        <x:f>IF(AND(P173="SHORT",COUNTIFS($E$2:E173,E173,$P$2:P173,"SHORT")=1),B173,"")</x:f>
      </x:c>
    </x:row>
    <x:row r="174" ht="15" customHeight="1">
      <x:c r="A174" s="71" t="str">
        <x:v>SO-26036</x:v>
      </x:c>
      <x:c r="B174" s="75" t="n">
        <x:v>46268</x:v>
      </x:c>
      <x:c r="C174" s="71" t="str">
        <x:v>Normal</x:v>
      </x:c>
      <x:c r="D174" s="71" t="str">
        <x:v>FG-010</x:v>
      </x:c>
      <x:c r="E174" s="71" t="str">
        <x:v>RM-059</x:v>
      </x:c>
      <x:c r="F174" s="71" t="str">
        <x:v>Additive 059</x:v>
      </x:c>
      <x:c r="G174" s="76" t="n">
        <x:v>80</x:v>
      </x:c>
      <x:c r="H174" s="76" t="n">
        <x:v>109.43</x:v>
      </x:c>
      <x:c r="I174" s="76" t="n">
        <x:f>G174*H174</x:f>
        <x:v>8754.400000000001</x:v>
      </x:c>
      <x:c r="J174" s="76" t="n">
        <x:f>IFERROR(INDEX('Inventory'!$E$2:$E$71,MATCH(E174,'Inventory'!$A$2:$A$71,0)),0)</x:f>
        <x:v>10488</x:v>
      </x:c>
      <x:c r="K174" s="76" t="n">
        <x:f>IFERROR(INDEX('Inventory'!$F$2:$F$71,MATCH(E174,'Inventory'!$A$2:$A$71,0)),0)</x:f>
        <x:v>1442</x:v>
      </x:c>
      <x:c r="L174" s="76" t="n">
        <x:f>SUMIFS('Open_POs'!$D$2:$D$26,'Open_POs'!$B$2:$B$26,E174,'Open_POs'!$E$2:$E$26,"&lt;="&amp;B174)</x:f>
        <x:v>0</x:v>
      </x:c>
      <x:c r="M174" s="76" t="n">
        <x:f>J174+L174</x:f>
        <x:v>10488</x:v>
      </x:c>
      <x:c r="N174" s="76" t="n">
        <x:f>SUMIFS($I$2:I174,$E$2:E174,E174)</x:f>
        <x:v>17508.800000000003</x:v>
      </x:c>
      <x:c r="O174" s="76" t="n">
        <x:f>M174-N174</x:f>
        <x:v>-7020.800000000003</x:v>
      </x:c>
      <x:c r="P174" s="71" t="str">
        <x:f>IF(O174&lt;0,"SHORT",IF(O174&lt;K174,"BELOW TARGET","COVERED"))</x:f>
        <x:v>SHORT</x:v>
      </x:c>
      <x:c r="Q174" s="63" t="n">
        <x:f>IF(AND(P174="SHORT",COUNTIFS($E$2:E174,E174,$P$2:P174,"SHORT")=1),B174,"")</x:f>
        <x:v>46268</x:v>
      </x:c>
    </x:row>
    <x:row r="175" ht="15" customHeight="1">
      <x:c r="A175" s="71" t="str">
        <x:v>SO-26036</x:v>
      </x:c>
      <x:c r="B175" s="75" t="n">
        <x:v>46268</x:v>
      </x:c>
      <x:c r="C175" s="71" t="str">
        <x:v>Normal</x:v>
      </x:c>
      <x:c r="D175" s="71" t="str">
        <x:v>FG-010</x:v>
      </x:c>
      <x:c r="E175" s="71" t="str">
        <x:v>RM-063</x:v>
      </x:c>
      <x:c r="F175" s="71" t="str">
        <x:v>Filler 063</x:v>
      </x:c>
      <x:c r="G175" s="76" t="n">
        <x:v>80</x:v>
      </x:c>
      <x:c r="H175" s="76" t="n">
        <x:v>72.93</x:v>
      </x:c>
      <x:c r="I175" s="76" t="n">
        <x:f>G175*H175</x:f>
        <x:v>5834.400000000001</x:v>
      </x:c>
      <x:c r="J175" s="76" t="n">
        <x:f>IFERROR(INDEX('Inventory'!$E$2:$E$71,MATCH(E175,'Inventory'!$A$2:$A$71,0)),0)</x:f>
        <x:v>7508</x:v>
      </x:c>
      <x:c r="K175" s="76" t="n">
        <x:f>IFERROR(INDEX('Inventory'!$F$2:$F$71,MATCH(E175,'Inventory'!$A$2:$A$71,0)),0)</x:f>
        <x:v>1090</x:v>
      </x:c>
      <x:c r="L175" s="76" t="n">
        <x:f>SUMIFS('Open_POs'!$D$2:$D$26,'Open_POs'!$B$2:$B$26,E175,'Open_POs'!$E$2:$E$26,"&lt;="&amp;B175)</x:f>
        <x:v>5000</x:v>
      </x:c>
      <x:c r="M175" s="76" t="n">
        <x:f>J175+L175</x:f>
        <x:v>12508</x:v>
      </x:c>
      <x:c r="N175" s="76" t="n">
        <x:f>SUMIFS($I$2:I175,$E$2:E175,E175)</x:f>
        <x:v>32153.699999999997</x:v>
      </x:c>
      <x:c r="O175" s="76" t="n">
        <x:f>M175-N175</x:f>
        <x:v>-19645.699999999997</x:v>
      </x:c>
      <x:c r="P175" s="71" t="str">
        <x:f>IF(O175&lt;0,"SHORT",IF(O175&lt;K175,"BELOW TARGET","COVERED"))</x:f>
        <x:v>SHORT</x:v>
      </x:c>
      <x:c r="Q175" s="63" t="str">
        <x:f>IF(AND(P175="SHORT",COUNTIFS($E$2:E175,E175,$P$2:P175,"SHORT")=1),B175,"")</x:f>
      </x:c>
    </x:row>
    <x:row r="176" ht="15" customHeight="1">
      <x:c r="A176" s="71" t="str">
        <x:v>SO-26030</x:v>
      </x:c>
      <x:c r="B176" s="75" t="n">
        <x:v>46269</x:v>
      </x:c>
      <x:c r="C176" s="71" t="str">
        <x:v>High</x:v>
      </x:c>
      <x:c r="D176" s="71" t="str">
        <x:v>FG-011</x:v>
      </x:c>
      <x:c r="E176" s="71" t="str">
        <x:v>RM-005</x:v>
      </x:c>
      <x:c r="F176" s="71" t="str">
        <x:v>Packaging 005</x:v>
      </x:c>
      <x:c r="G176" s="76" t="n">
        <x:v>30</x:v>
      </x:c>
      <x:c r="H176" s="76" t="n">
        <x:v>66.99</x:v>
      </x:c>
      <x:c r="I176" s="76" t="n">
        <x:f>G176*H176</x:f>
        <x:v>2009.6999999999998</x:v>
      </x:c>
      <x:c r="J176" s="76" t="n">
        <x:f>IFERROR(INDEX('Inventory'!$E$2:$E$71,MATCH(E176,'Inventory'!$A$2:$A$71,0)),0)</x:f>
        <x:v>8699</x:v>
      </x:c>
      <x:c r="K176" s="76" t="n">
        <x:f>IFERROR(INDEX('Inventory'!$F$2:$F$71,MATCH(E176,'Inventory'!$A$2:$A$71,0)),0)</x:f>
        <x:v>1174</x:v>
      </x:c>
      <x:c r="L176" s="76" t="n">
        <x:f>SUMIFS('Open_POs'!$D$2:$D$26,'Open_POs'!$B$2:$B$26,E176,'Open_POs'!$E$2:$E$26,"&lt;="&amp;B176)</x:f>
        <x:v>0</x:v>
      </x:c>
      <x:c r="M176" s="76" t="n">
        <x:f>J176+L176</x:f>
        <x:v>8699</x:v>
      </x:c>
      <x:c r="N176" s="76" t="n">
        <x:f>SUMIFS($I$2:I176,$E$2:E176,E176)</x:f>
        <x:v>16576.499999999996</x:v>
      </x:c>
      <x:c r="O176" s="76" t="n">
        <x:f>M176-N176</x:f>
        <x:v>-7877.499999999996</x:v>
      </x:c>
      <x:c r="P176" s="71" t="str">
        <x:f>IF(O176&lt;0,"SHORT",IF(O176&lt;K176,"BELOW TARGET","COVERED"))</x:f>
        <x:v>SHORT</x:v>
      </x:c>
      <x:c r="Q176" s="63" t="str">
        <x:f>IF(AND(P176="SHORT",COUNTIFS($E$2:E176,E176,$P$2:P176,"SHORT")=1),B176,"")</x:f>
      </x:c>
    </x:row>
    <x:row r="177" ht="15" customHeight="1">
      <x:c r="A177" s="71" t="str">
        <x:v>SO-26030</x:v>
      </x:c>
      <x:c r="B177" s="75" t="n">
        <x:v>46269</x:v>
      </x:c>
      <x:c r="C177" s="71" t="str">
        <x:v>High</x:v>
      </x:c>
      <x:c r="D177" s="71" t="str">
        <x:v>FG-011</x:v>
      </x:c>
      <x:c r="E177" s="71" t="str">
        <x:v>RM-008</x:v>
      </x:c>
      <x:c r="F177" s="71" t="str">
        <x:v>Filler 008</x:v>
      </x:c>
      <x:c r="G177" s="76" t="n">
        <x:v>30</x:v>
      </x:c>
      <x:c r="H177" s="76" t="n">
        <x:v>39.55</x:v>
      </x:c>
      <x:c r="I177" s="76" t="n">
        <x:f>G177*H177</x:f>
        <x:v>1186.5</x:v>
      </x:c>
      <x:c r="J177" s="76" t="n">
        <x:f>IFERROR(INDEX('Inventory'!$E$2:$E$71,MATCH(E177,'Inventory'!$A$2:$A$71,0)),0)</x:f>
        <x:v>430</x:v>
      </x:c>
      <x:c r="K177" s="76" t="n">
        <x:f>IFERROR(INDEX('Inventory'!$F$2:$F$71,MATCH(E177,'Inventory'!$A$2:$A$71,0)),0)</x:f>
        <x:v>1037</x:v>
      </x:c>
      <x:c r="L177" s="76" t="n">
        <x:f>SUMIFS('Open_POs'!$D$2:$D$26,'Open_POs'!$B$2:$B$26,E177,'Open_POs'!$E$2:$E$26,"&lt;="&amp;B177)</x:f>
        <x:v>0</x:v>
      </x:c>
      <x:c r="M177" s="76" t="n">
        <x:f>J177+L177</x:f>
        <x:v>430</x:v>
      </x:c>
      <x:c r="N177" s="76" t="n">
        <x:f>SUMIFS($I$2:I177,$E$2:E177,E177)</x:f>
        <x:v>13924.9</x:v>
      </x:c>
      <x:c r="O177" s="76" t="n">
        <x:f>M177-N177</x:f>
        <x:v>-13494.9</x:v>
      </x:c>
      <x:c r="P177" s="71" t="str">
        <x:f>IF(O177&lt;0,"SHORT",IF(O177&lt;K177,"BELOW TARGET","COVERED"))</x:f>
        <x:v>SHORT</x:v>
      </x:c>
      <x:c r="Q177" s="63" t="str">
        <x:f>IF(AND(P177="SHORT",COUNTIFS($E$2:E177,E177,$P$2:P177,"SHORT")=1),B177,"")</x:f>
      </x:c>
    </x:row>
    <x:row r="178" ht="15" customHeight="1">
      <x:c r="A178" s="71" t="str">
        <x:v>SO-26030</x:v>
      </x:c>
      <x:c r="B178" s="75" t="n">
        <x:v>46269</x:v>
      </x:c>
      <x:c r="C178" s="71" t="str">
        <x:v>High</x:v>
      </x:c>
      <x:c r="D178" s="71" t="str">
        <x:v>FG-011</x:v>
      </x:c>
      <x:c r="E178" s="71" t="str">
        <x:v>RM-010</x:v>
      </x:c>
      <x:c r="F178" s="71" t="str">
        <x:v>Packaging 010</x:v>
      </x:c>
      <x:c r="G178" s="76" t="n">
        <x:v>30</x:v>
      </x:c>
      <x:c r="H178" s="76" t="n">
        <x:v>104.73</x:v>
      </x:c>
      <x:c r="I178" s="76" t="n">
        <x:f>G178*H178</x:f>
        <x:v>3141.9</x:v>
      </x:c>
      <x:c r="J178" s="76" t="n">
        <x:f>IFERROR(INDEX('Inventory'!$E$2:$E$71,MATCH(E178,'Inventory'!$A$2:$A$71,0)),0)</x:f>
        <x:v>14191</x:v>
      </x:c>
      <x:c r="K178" s="76" t="n">
        <x:f>IFERROR(INDEX('Inventory'!$F$2:$F$71,MATCH(E178,'Inventory'!$A$2:$A$71,0)),0)</x:f>
        <x:v>615</x:v>
      </x:c>
      <x:c r="L178" s="76" t="n">
        <x:f>SUMIFS('Open_POs'!$D$2:$D$26,'Open_POs'!$B$2:$B$26,E178,'Open_POs'!$E$2:$E$26,"&lt;="&amp;B178)</x:f>
        <x:v>0</x:v>
      </x:c>
      <x:c r="M178" s="76" t="n">
        <x:f>J178+L178</x:f>
        <x:v>14191</x:v>
      </x:c>
      <x:c r="N178" s="76" t="n">
        <x:f>SUMIFS($I$2:I178,$E$2:E178,E178)</x:f>
        <x:v>24453.300000000003</x:v>
      </x:c>
      <x:c r="O178" s="76" t="n">
        <x:f>M178-N178</x:f>
        <x:v>-10262.300000000003</x:v>
      </x:c>
      <x:c r="P178" s="71" t="str">
        <x:f>IF(O178&lt;0,"SHORT",IF(O178&lt;K178,"BELOW TARGET","COVERED"))</x:f>
        <x:v>SHORT</x:v>
      </x:c>
      <x:c r="Q178" s="63" t="str">
        <x:f>IF(AND(P178="SHORT",COUNTIFS($E$2:E178,E178,$P$2:P178,"SHORT")=1),B178,"")</x:f>
      </x:c>
    </x:row>
    <x:row r="179" ht="15" customHeight="1">
      <x:c r="A179" s="71" t="str">
        <x:v>SO-26030</x:v>
      </x:c>
      <x:c r="B179" s="75" t="n">
        <x:v>46269</x:v>
      </x:c>
      <x:c r="C179" s="71" t="str">
        <x:v>High</x:v>
      </x:c>
      <x:c r="D179" s="71" t="str">
        <x:v>FG-011</x:v>
      </x:c>
      <x:c r="E179" s="71" t="str">
        <x:v>RM-019</x:v>
      </x:c>
      <x:c r="F179" s="71" t="str">
        <x:v>Additive 019</x:v>
      </x:c>
      <x:c r="G179" s="76" t="n">
        <x:v>30</x:v>
      </x:c>
      <x:c r="H179" s="76" t="n">
        <x:v>13.26</x:v>
      </x:c>
      <x:c r="I179" s="76" t="n">
        <x:f>G179*H179</x:f>
        <x:v>397.8</x:v>
      </x:c>
      <x:c r="J179" s="76" t="n">
        <x:f>IFERROR(INDEX('Inventory'!$E$2:$E$71,MATCH(E179,'Inventory'!$A$2:$A$71,0)),0)</x:f>
        <x:v>6552</x:v>
      </x:c>
      <x:c r="K179" s="76" t="n">
        <x:f>IFERROR(INDEX('Inventory'!$F$2:$F$71,MATCH(E179,'Inventory'!$A$2:$A$71,0)),0)</x:f>
        <x:v>1079</x:v>
      </x:c>
      <x:c r="L179" s="76" t="n">
        <x:f>SUMIFS('Open_POs'!$D$2:$D$26,'Open_POs'!$B$2:$B$26,E179,'Open_POs'!$E$2:$E$26,"&lt;="&amp;B179)</x:f>
        <x:v>0</x:v>
      </x:c>
      <x:c r="M179" s="76" t="n">
        <x:f>J179+L179</x:f>
        <x:v>6552</x:v>
      </x:c>
      <x:c r="N179" s="76" t="n">
        <x:f>SUMIFS($I$2:I179,$E$2:E179,E179)</x:f>
        <x:v>2519.4</x:v>
      </x:c>
      <x:c r="O179" s="76" t="n">
        <x:f>M179-N179</x:f>
        <x:v>4032.6</x:v>
      </x:c>
      <x:c r="P179" s="71" t="str">
        <x:f>IF(O179&lt;0,"SHORT",IF(O179&lt;K179,"BELOW TARGET","COVERED"))</x:f>
        <x:v>COVERED</x:v>
      </x:c>
      <x:c r="Q179" s="63" t="str">
        <x:f>IF(AND(P179="SHORT",COUNTIFS($E$2:E179,E179,$P$2:P179,"SHORT")=1),B179,"")</x:f>
      </x:c>
    </x:row>
    <x:row r="180" ht="15" customHeight="1">
      <x:c r="A180" s="71" t="str">
        <x:v>SO-26030</x:v>
      </x:c>
      <x:c r="B180" s="75" t="n">
        <x:v>46269</x:v>
      </x:c>
      <x:c r="C180" s="71" t="str">
        <x:v>High</x:v>
      </x:c>
      <x:c r="D180" s="71" t="str">
        <x:v>FG-011</x:v>
      </x:c>
      <x:c r="E180" s="71" t="str">
        <x:v>RM-031</x:v>
      </x:c>
      <x:c r="F180" s="71" t="str">
        <x:v>Resin 031</x:v>
      </x:c>
      <x:c r="G180" s="76" t="n">
        <x:v>30</x:v>
      </x:c>
      <x:c r="H180" s="76" t="n">
        <x:v>21.51</x:v>
      </x:c>
      <x:c r="I180" s="76" t="n">
        <x:f>G180*H180</x:f>
        <x:v>645.3000000000001</x:v>
      </x:c>
      <x:c r="J180" s="76" t="n">
        <x:f>IFERROR(INDEX('Inventory'!$E$2:$E$71,MATCH(E180,'Inventory'!$A$2:$A$71,0)),0)</x:f>
        <x:v>6087</x:v>
      </x:c>
      <x:c r="K180" s="76" t="n">
        <x:f>IFERROR(INDEX('Inventory'!$F$2:$F$71,MATCH(E180,'Inventory'!$A$2:$A$71,0)),0)</x:f>
        <x:v>714</x:v>
      </x:c>
      <x:c r="L180" s="76" t="n">
        <x:f>SUMIFS('Open_POs'!$D$2:$D$26,'Open_POs'!$B$2:$B$26,E180,'Open_POs'!$E$2:$E$26,"&lt;="&amp;B180)</x:f>
        <x:v>0</x:v>
      </x:c>
      <x:c r="M180" s="76" t="n">
        <x:f>J180+L180</x:f>
        <x:v>6087</x:v>
      </x:c>
      <x:c r="N180" s="76" t="n">
        <x:f>SUMIFS($I$2:I180,$E$2:E180,E180)</x:f>
        <x:v>8394.9</x:v>
      </x:c>
      <x:c r="O180" s="76" t="n">
        <x:f>M180-N180</x:f>
        <x:v>-2307.8999999999996</x:v>
      </x:c>
      <x:c r="P180" s="71" t="str">
        <x:f>IF(O180&lt;0,"SHORT",IF(O180&lt;K180,"BELOW TARGET","COVERED"))</x:f>
        <x:v>SHORT</x:v>
      </x:c>
      <x:c r="Q180" s="63" t="str">
        <x:f>IF(AND(P180="SHORT",COUNTIFS($E$2:E180,E180,$P$2:P180,"SHORT")=1),B180,"")</x:f>
      </x:c>
    </x:row>
    <x:row r="181" ht="15" customHeight="1">
      <x:c r="A181" s="71" t="str">
        <x:v>SO-26030</x:v>
      </x:c>
      <x:c r="B181" s="75" t="n">
        <x:v>46269</x:v>
      </x:c>
      <x:c r="C181" s="71" t="str">
        <x:v>High</x:v>
      </x:c>
      <x:c r="D181" s="71" t="str">
        <x:v>FG-011</x:v>
      </x:c>
      <x:c r="E181" s="71" t="str">
        <x:v>RM-032</x:v>
      </x:c>
      <x:c r="F181" s="71" t="str">
        <x:v>Pigment 032</x:v>
      </x:c>
      <x:c r="G181" s="76" t="n">
        <x:v>30</x:v>
      </x:c>
      <x:c r="H181" s="76" t="n">
        <x:v>119.29</x:v>
      </x:c>
      <x:c r="I181" s="76" t="n">
        <x:f>G181*H181</x:f>
        <x:v>3578.7000000000003</x:v>
      </x:c>
      <x:c r="J181" s="76" t="n">
        <x:f>IFERROR(INDEX('Inventory'!$E$2:$E$71,MATCH(E181,'Inventory'!$A$2:$A$71,0)),0)</x:f>
        <x:v>674</x:v>
      </x:c>
      <x:c r="K181" s="76" t="n">
        <x:f>IFERROR(INDEX('Inventory'!$F$2:$F$71,MATCH(E181,'Inventory'!$A$2:$A$71,0)),0)</x:f>
        <x:v>1056</x:v>
      </x:c>
      <x:c r="L181" s="76" t="n">
        <x:f>SUMIFS('Open_POs'!$D$2:$D$26,'Open_POs'!$B$2:$B$26,E181,'Open_POs'!$E$2:$E$26,"&lt;="&amp;B181)</x:f>
        <x:v>0</x:v>
      </x:c>
      <x:c r="M181" s="76" t="n">
        <x:f>J181+L181</x:f>
        <x:v>674</x:v>
      </x:c>
      <x:c r="N181" s="76" t="n">
        <x:f>SUMIFS($I$2:I181,$E$2:E181,E181)</x:f>
        <x:v>34345.1</x:v>
      </x:c>
      <x:c r="O181" s="76" t="n">
        <x:f>M181-N181</x:f>
        <x:v>-33671.1</x:v>
      </x:c>
      <x:c r="P181" s="71" t="str">
        <x:f>IF(O181&lt;0,"SHORT",IF(O181&lt;K181,"BELOW TARGET","COVERED"))</x:f>
        <x:v>SHORT</x:v>
      </x:c>
      <x:c r="Q181" s="63" t="str">
        <x:f>IF(AND(P181="SHORT",COUNTIFS($E$2:E181,E181,$P$2:P181,"SHORT")=1),B181,"")</x:f>
      </x:c>
    </x:row>
    <x:row r="182" ht="15" customHeight="1">
      <x:c r="A182" s="71" t="str">
        <x:v>SO-26030</x:v>
      </x:c>
      <x:c r="B182" s="75" t="n">
        <x:v>46269</x:v>
      </x:c>
      <x:c r="C182" s="71" t="str">
        <x:v>High</x:v>
      </x:c>
      <x:c r="D182" s="71" t="str">
        <x:v>FG-011</x:v>
      </x:c>
      <x:c r="E182" s="71" t="str">
        <x:v>RM-036</x:v>
      </x:c>
      <x:c r="F182" s="71" t="str">
        <x:v>Resin 036</x:v>
      </x:c>
      <x:c r="G182" s="76" t="n">
        <x:v>30</x:v>
      </x:c>
      <x:c r="H182" s="76" t="n">
        <x:v>52.72</x:v>
      </x:c>
      <x:c r="I182" s="76" t="n">
        <x:f>G182*H182</x:f>
        <x:v>1581.6</x:v>
      </x:c>
      <x:c r="J182" s="76" t="n">
        <x:f>IFERROR(INDEX('Inventory'!$E$2:$E$71,MATCH(E182,'Inventory'!$A$2:$A$71,0)),0)</x:f>
        <x:v>12427</x:v>
      </x:c>
      <x:c r="K182" s="76" t="n">
        <x:f>IFERROR(INDEX('Inventory'!$F$2:$F$71,MATCH(E182,'Inventory'!$A$2:$A$71,0)),0)</x:f>
        <x:v>1016</x:v>
      </x:c>
      <x:c r="L182" s="76" t="n">
        <x:f>SUMIFS('Open_POs'!$D$2:$D$26,'Open_POs'!$B$2:$B$26,E182,'Open_POs'!$E$2:$E$26,"&lt;="&amp;B182)</x:f>
        <x:v>1000</x:v>
      </x:c>
      <x:c r="M182" s="76" t="n">
        <x:f>J182+L182</x:f>
        <x:v>13427</x:v>
      </x:c>
      <x:c r="N182" s="76" t="n">
        <x:f>SUMIFS($I$2:I182,$E$2:E182,E182)</x:f>
        <x:v>13811.800000000001</x:v>
      </x:c>
      <x:c r="O182" s="76" t="n">
        <x:f>M182-N182</x:f>
        <x:v>-384.8000000000011</x:v>
      </x:c>
      <x:c r="P182" s="71" t="str">
        <x:f>IF(O182&lt;0,"SHORT",IF(O182&lt;K182,"BELOW TARGET","COVERED"))</x:f>
        <x:v>SHORT</x:v>
      </x:c>
      <x:c r="Q182" s="63" t="n">
        <x:f>IF(AND(P182="SHORT",COUNTIFS($E$2:E182,E182,$P$2:P182,"SHORT")=1),B182,"")</x:f>
        <x:v>46269</x:v>
      </x:c>
    </x:row>
    <x:row r="183" ht="15" customHeight="1">
      <x:c r="A183" s="71" t="str">
        <x:v>SO-26030</x:v>
      </x:c>
      <x:c r="B183" s="75" t="n">
        <x:v>46269</x:v>
      </x:c>
      <x:c r="C183" s="71" t="str">
        <x:v>High</x:v>
      </x:c>
      <x:c r="D183" s="71" t="str">
        <x:v>FG-011</x:v>
      </x:c>
      <x:c r="E183" s="71" t="str">
        <x:v>RM-058</x:v>
      </x:c>
      <x:c r="F183" s="71" t="str">
        <x:v>Filler 058</x:v>
      </x:c>
      <x:c r="G183" s="76" t="n">
        <x:v>30</x:v>
      </x:c>
      <x:c r="H183" s="76" t="n">
        <x:v>26.63</x:v>
      </x:c>
      <x:c r="I183" s="76" t="n">
        <x:f>G183*H183</x:f>
        <x:v>798.9</x:v>
      </x:c>
      <x:c r="J183" s="76" t="n">
        <x:f>IFERROR(INDEX('Inventory'!$E$2:$E$71,MATCH(E183,'Inventory'!$A$2:$A$71,0)),0)</x:f>
        <x:v>9929</x:v>
      </x:c>
      <x:c r="K183" s="76" t="n">
        <x:f>IFERROR(INDEX('Inventory'!$F$2:$F$71,MATCH(E183,'Inventory'!$A$2:$A$71,0)),0)</x:f>
        <x:v>701</x:v>
      </x:c>
      <x:c r="L183" s="76" t="n">
        <x:f>SUMIFS('Open_POs'!$D$2:$D$26,'Open_POs'!$B$2:$B$26,E183,'Open_POs'!$E$2:$E$26,"&lt;="&amp;B183)</x:f>
        <x:v>0</x:v>
      </x:c>
      <x:c r="M183" s="76" t="n">
        <x:f>J183+L183</x:f>
        <x:v>9929</x:v>
      </x:c>
      <x:c r="N183" s="76" t="n">
        <x:f>SUMIFS($I$2:I183,$E$2:E183,E183)</x:f>
        <x:v>26504.9</x:v>
      </x:c>
      <x:c r="O183" s="76" t="n">
        <x:f>M183-N183</x:f>
        <x:v>-16575.9</x:v>
      </x:c>
      <x:c r="P183" s="71" t="str">
        <x:f>IF(O183&lt;0,"SHORT",IF(O183&lt;K183,"BELOW TARGET","COVERED"))</x:f>
        <x:v>SHORT</x:v>
      </x:c>
      <x:c r="Q183" s="63" t="str">
        <x:f>IF(AND(P183="SHORT",COUNTIFS($E$2:E183,E183,$P$2:P183,"SHORT")=1),B183,"")</x:f>
      </x:c>
    </x:row>
    <x:row r="184" ht="15" customHeight="1">
      <x:c r="A184" s="71" t="str">
        <x:v>SO-26007</x:v>
      </x:c>
      <x:c r="B184" s="75" t="n">
        <x:v>46269</x:v>
      </x:c>
      <x:c r="C184" s="71" t="str">
        <x:v>Normal</x:v>
      </x:c>
      <x:c r="D184" s="71" t="str">
        <x:v>FG-017</x:v>
      </x:c>
      <x:c r="E184" s="71" t="str">
        <x:v>RM-003</x:v>
      </x:c>
      <x:c r="F184" s="71" t="str">
        <x:v>Filler 003</x:v>
      </x:c>
      <x:c r="G184" s="76" t="n">
        <x:v>30</x:v>
      </x:c>
      <x:c r="H184" s="76" t="n">
        <x:v>60.21</x:v>
      </x:c>
      <x:c r="I184" s="76" t="n">
        <x:f>G184*H184</x:f>
        <x:v>1806.3</x:v>
      </x:c>
      <x:c r="J184" s="76" t="n">
        <x:f>IFERROR(INDEX('Inventory'!$E$2:$E$71,MATCH(E184,'Inventory'!$A$2:$A$71,0)),0)</x:f>
        <x:v>15564</x:v>
      </x:c>
      <x:c r="K184" s="76" t="n">
        <x:f>IFERROR(INDEX('Inventory'!$F$2:$F$71,MATCH(E184,'Inventory'!$A$2:$A$71,0)),0)</x:f>
        <x:v>174</x:v>
      </x:c>
      <x:c r="L184" s="76" t="n">
        <x:f>SUMIFS('Open_POs'!$D$2:$D$26,'Open_POs'!$B$2:$B$26,E184,'Open_POs'!$E$2:$E$26,"&lt;="&amp;B184)</x:f>
        <x:v>0</x:v>
      </x:c>
      <x:c r="M184" s="76" t="n">
        <x:f>J184+L184</x:f>
        <x:v>15564</x:v>
      </x:c>
      <x:c r="N184" s="76" t="n">
        <x:f>SUMIFS($I$2:I184,$E$2:E184,E184)</x:f>
        <x:v>1806.3</x:v>
      </x:c>
      <x:c r="O184" s="76" t="n">
        <x:f>M184-N184</x:f>
        <x:v>13757.7</x:v>
      </x:c>
      <x:c r="P184" s="71" t="str">
        <x:f>IF(O184&lt;0,"SHORT",IF(O184&lt;K184,"BELOW TARGET","COVERED"))</x:f>
        <x:v>COVERED</x:v>
      </x:c>
      <x:c r="Q184" s="63" t="str">
        <x:f>IF(AND(P184="SHORT",COUNTIFS($E$2:E184,E184,$P$2:P184,"SHORT")=1),B184,"")</x:f>
      </x:c>
    </x:row>
    <x:row r="185" ht="15" customHeight="1">
      <x:c r="A185" s="71" t="str">
        <x:v>SO-26007</x:v>
      </x:c>
      <x:c r="B185" s="75" t="n">
        <x:v>46269</x:v>
      </x:c>
      <x:c r="C185" s="71" t="str">
        <x:v>Normal</x:v>
      </x:c>
      <x:c r="D185" s="71" t="str">
        <x:v>FG-017</x:v>
      </x:c>
      <x:c r="E185" s="71" t="str">
        <x:v>RM-005</x:v>
      </x:c>
      <x:c r="F185" s="71" t="str">
        <x:v>Packaging 005</x:v>
      </x:c>
      <x:c r="G185" s="76" t="n">
        <x:v>30</x:v>
      </x:c>
      <x:c r="H185" s="76" t="n">
        <x:v>50.91</x:v>
      </x:c>
      <x:c r="I185" s="76" t="n">
        <x:f>G185*H185</x:f>
        <x:v>1527.3</x:v>
      </x:c>
      <x:c r="J185" s="76" t="n">
        <x:f>IFERROR(INDEX('Inventory'!$E$2:$E$71,MATCH(E185,'Inventory'!$A$2:$A$71,0)),0)</x:f>
        <x:v>8699</x:v>
      </x:c>
      <x:c r="K185" s="76" t="n">
        <x:f>IFERROR(INDEX('Inventory'!$F$2:$F$71,MATCH(E185,'Inventory'!$A$2:$A$71,0)),0)</x:f>
        <x:v>1174</x:v>
      </x:c>
      <x:c r="L185" s="76" t="n">
        <x:f>SUMIFS('Open_POs'!$D$2:$D$26,'Open_POs'!$B$2:$B$26,E185,'Open_POs'!$E$2:$E$26,"&lt;="&amp;B185)</x:f>
        <x:v>0</x:v>
      </x:c>
      <x:c r="M185" s="76" t="n">
        <x:f>J185+L185</x:f>
        <x:v>8699</x:v>
      </x:c>
      <x:c r="N185" s="76" t="n">
        <x:f>SUMIFS($I$2:I185,$E$2:E185,E185)</x:f>
        <x:v>18103.799999999996</x:v>
      </x:c>
      <x:c r="O185" s="76" t="n">
        <x:f>M185-N185</x:f>
        <x:v>-9404.799999999996</x:v>
      </x:c>
      <x:c r="P185" s="71" t="str">
        <x:f>IF(O185&lt;0,"SHORT",IF(O185&lt;K185,"BELOW TARGET","COVERED"))</x:f>
        <x:v>SHORT</x:v>
      </x:c>
      <x:c r="Q185" s="63" t="str">
        <x:f>IF(AND(P185="SHORT",COUNTIFS($E$2:E185,E185,$P$2:P185,"SHORT")=1),B185,"")</x:f>
      </x:c>
    </x:row>
    <x:row r="186" ht="15" customHeight="1">
      <x:c r="A186" s="71" t="str">
        <x:v>SO-26007</x:v>
      </x:c>
      <x:c r="B186" s="75" t="n">
        <x:v>46269</x:v>
      </x:c>
      <x:c r="C186" s="71" t="str">
        <x:v>Normal</x:v>
      </x:c>
      <x:c r="D186" s="71" t="str">
        <x:v>FG-017</x:v>
      </x:c>
      <x:c r="E186" s="71" t="str">
        <x:v>RM-025</x:v>
      </x:c>
      <x:c r="F186" s="71" t="str">
        <x:v>Packaging 025</x:v>
      </x:c>
      <x:c r="G186" s="76" t="n">
        <x:v>30</x:v>
      </x:c>
      <x:c r="H186" s="76" t="n">
        <x:v>41.44</x:v>
      </x:c>
      <x:c r="I186" s="76" t="n">
        <x:f>G186*H186</x:f>
        <x:v>1243.1999999999998</x:v>
      </x:c>
      <x:c r="J186" s="76" t="n">
        <x:f>IFERROR(INDEX('Inventory'!$E$2:$E$71,MATCH(E186,'Inventory'!$A$2:$A$71,0)),0)</x:f>
        <x:v>2469</x:v>
      </x:c>
      <x:c r="K186" s="76" t="n">
        <x:f>IFERROR(INDEX('Inventory'!$F$2:$F$71,MATCH(E186,'Inventory'!$A$2:$A$71,0)),0)</x:f>
        <x:v>229</x:v>
      </x:c>
      <x:c r="L186" s="76" t="n">
        <x:f>SUMIFS('Open_POs'!$D$2:$D$26,'Open_POs'!$B$2:$B$26,E186,'Open_POs'!$E$2:$E$26,"&lt;="&amp;B186)</x:f>
        <x:v>0</x:v>
      </x:c>
      <x:c r="M186" s="76" t="n">
        <x:f>J186+L186</x:f>
        <x:v>2469</x:v>
      </x:c>
      <x:c r="N186" s="76" t="n">
        <x:f>SUMIFS($I$2:I186,$E$2:E186,E186)</x:f>
        <x:v>17403.399999999998</x:v>
      </x:c>
      <x:c r="O186" s="76" t="n">
        <x:f>M186-N186</x:f>
        <x:v>-14934.399999999998</x:v>
      </x:c>
      <x:c r="P186" s="71" t="str">
        <x:f>IF(O186&lt;0,"SHORT",IF(O186&lt;K186,"BELOW TARGET","COVERED"))</x:f>
        <x:v>SHORT</x:v>
      </x:c>
      <x:c r="Q186" s="63" t="str">
        <x:f>IF(AND(P186="SHORT",COUNTIFS($E$2:E186,E186,$P$2:P186,"SHORT")=1),B186,"")</x:f>
      </x:c>
    </x:row>
    <x:row r="187" ht="15" customHeight="1">
      <x:c r="A187" s="71" t="str">
        <x:v>SO-26007</x:v>
      </x:c>
      <x:c r="B187" s="75" t="n">
        <x:v>46269</x:v>
      </x:c>
      <x:c r="C187" s="71" t="str">
        <x:v>Normal</x:v>
      </x:c>
      <x:c r="D187" s="71" t="str">
        <x:v>FG-017</x:v>
      </x:c>
      <x:c r="E187" s="71" t="str">
        <x:v>RM-041</x:v>
      </x:c>
      <x:c r="F187" s="71" t="str">
        <x:v>Resin 041</x:v>
      </x:c>
      <x:c r="G187" s="76" t="n">
        <x:v>30</x:v>
      </x:c>
      <x:c r="H187" s="76" t="n">
        <x:v>38.8</x:v>
      </x:c>
      <x:c r="I187" s="76" t="n">
        <x:f>G187*H187</x:f>
        <x:v>1164</x:v>
      </x:c>
      <x:c r="J187" s="76" t="n">
        <x:f>IFERROR(INDEX('Inventory'!$E$2:$E$71,MATCH(E187,'Inventory'!$A$2:$A$71,0)),0)</x:f>
        <x:v>4635</x:v>
      </x:c>
      <x:c r="K187" s="76" t="n">
        <x:f>IFERROR(INDEX('Inventory'!$F$2:$F$71,MATCH(E187,'Inventory'!$A$2:$A$71,0)),0)</x:f>
        <x:v>987</x:v>
      </x:c>
      <x:c r="L187" s="76" t="n">
        <x:f>SUMIFS('Open_POs'!$D$2:$D$26,'Open_POs'!$B$2:$B$26,E187,'Open_POs'!$E$2:$E$26,"&lt;="&amp;B187)</x:f>
        <x:v>0</x:v>
      </x:c>
      <x:c r="M187" s="76" t="n">
        <x:f>J187+L187</x:f>
        <x:v>4635</x:v>
      </x:c>
      <x:c r="N187" s="76" t="n">
        <x:f>SUMIFS($I$2:I187,$E$2:E187,E187)</x:f>
        <x:v>3987.1000000000004</x:v>
      </x:c>
      <x:c r="O187" s="76" t="n">
        <x:f>M187-N187</x:f>
        <x:v>647.8999999999996</x:v>
      </x:c>
      <x:c r="P187" s="71" t="str">
        <x:f>IF(O187&lt;0,"SHORT",IF(O187&lt;K187,"BELOW TARGET","COVERED"))</x:f>
        <x:v>BELOW TARGET</x:v>
      </x:c>
      <x:c r="Q187" s="63" t="str">
        <x:f>IF(AND(P187="SHORT",COUNTIFS($E$2:E187,E187,$P$2:P187,"SHORT")=1),B187,"")</x:f>
      </x:c>
    </x:row>
    <x:row r="188" ht="15" customHeight="1">
      <x:c r="A188" s="71" t="str">
        <x:v>SO-26007</x:v>
      </x:c>
      <x:c r="B188" s="75" t="n">
        <x:v>46269</x:v>
      </x:c>
      <x:c r="C188" s="71" t="str">
        <x:v>Normal</x:v>
      </x:c>
      <x:c r="D188" s="71" t="str">
        <x:v>FG-017</x:v>
      </x:c>
      <x:c r="E188" s="71" t="str">
        <x:v>RM-056</x:v>
      </x:c>
      <x:c r="F188" s="71" t="str">
        <x:v>Resin 056</x:v>
      </x:c>
      <x:c r="G188" s="76" t="n">
        <x:v>30</x:v>
      </x:c>
      <x:c r="H188" s="76" t="n">
        <x:v>73.02</x:v>
      </x:c>
      <x:c r="I188" s="76" t="n">
        <x:f>G188*H188</x:f>
        <x:v>2190.6</x:v>
      </x:c>
      <x:c r="J188" s="76" t="n">
        <x:f>IFERROR(INDEX('Inventory'!$E$2:$E$71,MATCH(E188,'Inventory'!$A$2:$A$71,0)),0)</x:f>
        <x:v>862</x:v>
      </x:c>
      <x:c r="K188" s="76" t="n">
        <x:f>IFERROR(INDEX('Inventory'!$F$2:$F$71,MATCH(E188,'Inventory'!$A$2:$A$71,0)),0)</x:f>
        <x:v>108</x:v>
      </x:c>
      <x:c r="L188" s="76" t="n">
        <x:f>SUMIFS('Open_POs'!$D$2:$D$26,'Open_POs'!$B$2:$B$26,E188,'Open_POs'!$E$2:$E$26,"&lt;="&amp;B188)</x:f>
        <x:v>0</x:v>
      </x:c>
      <x:c r="M188" s="76" t="n">
        <x:f>J188+L188</x:f>
        <x:v>862</x:v>
      </x:c>
      <x:c r="N188" s="76" t="n">
        <x:f>SUMIFS($I$2:I188,$E$2:E188,E188)</x:f>
        <x:v>2190.6</x:v>
      </x:c>
      <x:c r="O188" s="76" t="n">
        <x:f>M188-N188</x:f>
        <x:v>-1328.6</x:v>
      </x:c>
      <x:c r="P188" s="71" t="str">
        <x:f>IF(O188&lt;0,"SHORT",IF(O188&lt;K188,"BELOW TARGET","COVERED"))</x:f>
        <x:v>SHORT</x:v>
      </x:c>
      <x:c r="Q188" s="63" t="n">
        <x:f>IF(AND(P188="SHORT",COUNTIFS($E$2:E188,E188,$P$2:P188,"SHORT")=1),B188,"")</x:f>
        <x:v>46269</x:v>
      </x:c>
    </x:row>
    <x:row r="189" ht="15" customHeight="1">
      <x:c r="A189" s="71" t="str">
        <x:v>SO-26007</x:v>
      </x:c>
      <x:c r="B189" s="75" t="n">
        <x:v>46269</x:v>
      </x:c>
      <x:c r="C189" s="71" t="str">
        <x:v>Normal</x:v>
      </x:c>
      <x:c r="D189" s="71" t="str">
        <x:v>FG-017</x:v>
      </x:c>
      <x:c r="E189" s="71" t="str">
        <x:v>RM-059</x:v>
      </x:c>
      <x:c r="F189" s="71" t="str">
        <x:v>Additive 059</x:v>
      </x:c>
      <x:c r="G189" s="76" t="n">
        <x:v>30</x:v>
      </x:c>
      <x:c r="H189" s="76" t="n">
        <x:v>60.54</x:v>
      </x:c>
      <x:c r="I189" s="76" t="n">
        <x:f>G189*H189</x:f>
        <x:v>1816.2</x:v>
      </x:c>
      <x:c r="J189" s="76" t="n">
        <x:f>IFERROR(INDEX('Inventory'!$E$2:$E$71,MATCH(E189,'Inventory'!$A$2:$A$71,0)),0)</x:f>
        <x:v>10488</x:v>
      </x:c>
      <x:c r="K189" s="76" t="n">
        <x:f>IFERROR(INDEX('Inventory'!$F$2:$F$71,MATCH(E189,'Inventory'!$A$2:$A$71,0)),0)</x:f>
        <x:v>1442</x:v>
      </x:c>
      <x:c r="L189" s="76" t="n">
        <x:f>SUMIFS('Open_POs'!$D$2:$D$26,'Open_POs'!$B$2:$B$26,E189,'Open_POs'!$E$2:$E$26,"&lt;="&amp;B189)</x:f>
        <x:v>0</x:v>
      </x:c>
      <x:c r="M189" s="76" t="n">
        <x:f>J189+L189</x:f>
        <x:v>10488</x:v>
      </x:c>
      <x:c r="N189" s="76" t="n">
        <x:f>SUMIFS($I$2:I189,$E$2:E189,E189)</x:f>
        <x:v>19325.000000000004</x:v>
      </x:c>
      <x:c r="O189" s="76" t="n">
        <x:f>M189-N189</x:f>
        <x:v>-8837.000000000004</x:v>
      </x:c>
      <x:c r="P189" s="71" t="str">
        <x:f>IF(O189&lt;0,"SHORT",IF(O189&lt;K189,"BELOW TARGET","COVERED"))</x:f>
        <x:v>SHORT</x:v>
      </x:c>
      <x:c r="Q189" s="63" t="str">
        <x:f>IF(AND(P189="SHORT",COUNTIFS($E$2:E189,E189,$P$2:P189,"SHORT")=1),B189,"")</x:f>
      </x:c>
    </x:row>
    <x:row r="190" ht="15" customHeight="1">
      <x:c r="A190" s="71" t="str">
        <x:v>SO-26071</x:v>
      </x:c>
      <x:c r="B190" s="75" t="n">
        <x:v>46270</x:v>
      </x:c>
      <x:c r="C190" s="71" t="str">
        <x:v>Normal</x:v>
      </x:c>
      <x:c r="D190" s="71" t="str">
        <x:v>FG-021</x:v>
      </x:c>
      <x:c r="E190" s="71" t="str">
        <x:v>RM-001</x:v>
      </x:c>
      <x:c r="F190" s="71" t="str">
        <x:v>Resin 001</x:v>
      </x:c>
      <x:c r="G190" s="76" t="n">
        <x:v>100</x:v>
      </x:c>
      <x:c r="H190" s="76" t="n">
        <x:v>56.97</x:v>
      </x:c>
      <x:c r="I190" s="76" t="n">
        <x:f>G190*H190</x:f>
        <x:v>5697</x:v>
      </x:c>
      <x:c r="J190" s="76" t="n">
        <x:f>IFERROR(INDEX('Inventory'!$E$2:$E$71,MATCH(E190,'Inventory'!$A$2:$A$71,0)),0)</x:f>
        <x:v>9214</x:v>
      </x:c>
      <x:c r="K190" s="76" t="n">
        <x:f>IFERROR(INDEX('Inventory'!$F$2:$F$71,MATCH(E190,'Inventory'!$A$2:$A$71,0)),0)</x:f>
        <x:v>713</x:v>
      </x:c>
      <x:c r="L190" s="76" t="n">
        <x:f>SUMIFS('Open_POs'!$D$2:$D$26,'Open_POs'!$B$2:$B$26,E190,'Open_POs'!$E$2:$E$26,"&lt;="&amp;B190)</x:f>
        <x:v>0</x:v>
      </x:c>
      <x:c r="M190" s="76" t="n">
        <x:f>J190+L190</x:f>
        <x:v>9214</x:v>
      </x:c>
      <x:c r="N190" s="76" t="n">
        <x:f>SUMIFS($I$2:I190,$E$2:E190,E190)</x:f>
        <x:v>11963.7</x:v>
      </x:c>
      <x:c r="O190" s="76" t="n">
        <x:f>M190-N190</x:f>
        <x:v>-2749.7000000000007</x:v>
      </x:c>
      <x:c r="P190" s="71" t="str">
        <x:f>IF(O190&lt;0,"SHORT",IF(O190&lt;K190,"BELOW TARGET","COVERED"))</x:f>
        <x:v>SHORT</x:v>
      </x:c>
      <x:c r="Q190" s="63" t="n">
        <x:f>IF(AND(P190="SHORT",COUNTIFS($E$2:E190,E190,$P$2:P190,"SHORT")=1),B190,"")</x:f>
        <x:v>46270</x:v>
      </x:c>
    </x:row>
    <x:row r="191" ht="15" customHeight="1">
      <x:c r="A191" s="71" t="str">
        <x:v>SO-26071</x:v>
      </x:c>
      <x:c r="B191" s="75" t="n">
        <x:v>46270</x:v>
      </x:c>
      <x:c r="C191" s="71" t="str">
        <x:v>Normal</x:v>
      </x:c>
      <x:c r="D191" s="71" t="str">
        <x:v>FG-021</x:v>
      </x:c>
      <x:c r="E191" s="71" t="str">
        <x:v>RM-013</x:v>
      </x:c>
      <x:c r="F191" s="71" t="str">
        <x:v>Filler 013</x:v>
      </x:c>
      <x:c r="G191" s="76" t="n">
        <x:v>100</x:v>
      </x:c>
      <x:c r="H191" s="76" t="n">
        <x:v>14.71</x:v>
      </x:c>
      <x:c r="I191" s="76" t="n">
        <x:f>G191*H191</x:f>
        <x:v>1471</x:v>
      </x:c>
      <x:c r="J191" s="76" t="n">
        <x:f>IFERROR(INDEX('Inventory'!$E$2:$E$71,MATCH(E191,'Inventory'!$A$2:$A$71,0)),0)</x:f>
        <x:v>16230</x:v>
      </x:c>
      <x:c r="K191" s="76" t="n">
        <x:f>IFERROR(INDEX('Inventory'!$F$2:$F$71,MATCH(E191,'Inventory'!$A$2:$A$71,0)),0)</x:f>
        <x:v>1037</x:v>
      </x:c>
      <x:c r="L191" s="76" t="n">
        <x:f>SUMIFS('Open_POs'!$D$2:$D$26,'Open_POs'!$B$2:$B$26,E191,'Open_POs'!$E$2:$E$26,"&lt;="&amp;B191)</x:f>
        <x:v>0</x:v>
      </x:c>
      <x:c r="M191" s="76" t="n">
        <x:f>J191+L191</x:f>
        <x:v>16230</x:v>
      </x:c>
      <x:c r="N191" s="76" t="n">
        <x:f>SUMIFS($I$2:I191,$E$2:E191,E191)</x:f>
        <x:v>6508.3</x:v>
      </x:c>
      <x:c r="O191" s="76" t="n">
        <x:f>M191-N191</x:f>
        <x:v>9721.7</x:v>
      </x:c>
      <x:c r="P191" s="71" t="str">
        <x:f>IF(O191&lt;0,"SHORT",IF(O191&lt;K191,"BELOW TARGET","COVERED"))</x:f>
        <x:v>COVERED</x:v>
      </x:c>
      <x:c r="Q191" s="63" t="str">
        <x:f>IF(AND(P191="SHORT",COUNTIFS($E$2:E191,E191,$P$2:P191,"SHORT")=1),B191,"")</x:f>
      </x:c>
    </x:row>
    <x:row r="192" ht="15" customHeight="1">
      <x:c r="A192" s="71" t="str">
        <x:v>SO-26071</x:v>
      </x:c>
      <x:c r="B192" s="75" t="n">
        <x:v>46270</x:v>
      </x:c>
      <x:c r="C192" s="71" t="str">
        <x:v>Normal</x:v>
      </x:c>
      <x:c r="D192" s="71" t="str">
        <x:v>FG-021</x:v>
      </x:c>
      <x:c r="E192" s="71" t="str">
        <x:v>RM-018</x:v>
      </x:c>
      <x:c r="F192" s="71" t="str">
        <x:v>Filler 018</x:v>
      </x:c>
      <x:c r="G192" s="76" t="n">
        <x:v>100</x:v>
      </x:c>
      <x:c r="H192" s="76" t="n">
        <x:v>37.67</x:v>
      </x:c>
      <x:c r="I192" s="76" t="n">
        <x:f>G192*H192</x:f>
        <x:v>3767</x:v>
      </x:c>
      <x:c r="J192" s="76" t="n">
        <x:f>IFERROR(INDEX('Inventory'!$E$2:$E$71,MATCH(E192,'Inventory'!$A$2:$A$71,0)),0)</x:f>
        <x:v>17607</x:v>
      </x:c>
      <x:c r="K192" s="76" t="n">
        <x:f>IFERROR(INDEX('Inventory'!$F$2:$F$71,MATCH(E192,'Inventory'!$A$2:$A$71,0)),0)</x:f>
        <x:v>302</x:v>
      </x:c>
      <x:c r="L192" s="76" t="n">
        <x:f>SUMIFS('Open_POs'!$D$2:$D$26,'Open_POs'!$B$2:$B$26,E192,'Open_POs'!$E$2:$E$26,"&lt;="&amp;B192)</x:f>
        <x:v>0</x:v>
      </x:c>
      <x:c r="M192" s="76" t="n">
        <x:f>J192+L192</x:f>
        <x:v>17607</x:v>
      </x:c>
      <x:c r="N192" s="76" t="n">
        <x:f>SUMIFS($I$2:I192,$E$2:E192,E192)</x:f>
        <x:v>9361.5</x:v>
      </x:c>
      <x:c r="O192" s="76" t="n">
        <x:f>M192-N192</x:f>
        <x:v>8245.5</x:v>
      </x:c>
      <x:c r="P192" s="71" t="str">
        <x:f>IF(O192&lt;0,"SHORT",IF(O192&lt;K192,"BELOW TARGET","COVERED"))</x:f>
        <x:v>COVERED</x:v>
      </x:c>
      <x:c r="Q192" s="63" t="str">
        <x:f>IF(AND(P192="SHORT",COUNTIFS($E$2:E192,E192,$P$2:P192,"SHORT")=1),B192,"")</x:f>
      </x:c>
    </x:row>
    <x:row r="193" ht="15" customHeight="1">
      <x:c r="A193" s="71" t="str">
        <x:v>SO-26071</x:v>
      </x:c>
      <x:c r="B193" s="75" t="n">
        <x:v>46270</x:v>
      </x:c>
      <x:c r="C193" s="71" t="str">
        <x:v>Normal</x:v>
      </x:c>
      <x:c r="D193" s="71" t="str">
        <x:v>FG-021</x:v>
      </x:c>
      <x:c r="E193" s="71" t="str">
        <x:v>RM-020</x:v>
      </x:c>
      <x:c r="F193" s="71" t="str">
        <x:v>Packaging 020</x:v>
      </x:c>
      <x:c r="G193" s="76" t="n">
        <x:v>100</x:v>
      </x:c>
      <x:c r="H193" s="76" t="n">
        <x:v>51.42</x:v>
      </x:c>
      <x:c r="I193" s="76" t="n">
        <x:f>G193*H193</x:f>
        <x:v>5142</x:v>
      </x:c>
      <x:c r="J193" s="76" t="n">
        <x:f>IFERROR(INDEX('Inventory'!$E$2:$E$71,MATCH(E193,'Inventory'!$A$2:$A$71,0)),0)</x:f>
        <x:v>10528</x:v>
      </x:c>
      <x:c r="K193" s="76" t="n">
        <x:f>IFERROR(INDEX('Inventory'!$F$2:$F$71,MATCH(E193,'Inventory'!$A$2:$A$71,0)),0)</x:f>
        <x:v>881</x:v>
      </x:c>
      <x:c r="L193" s="76" t="n">
        <x:f>SUMIFS('Open_POs'!$D$2:$D$26,'Open_POs'!$B$2:$B$26,E193,'Open_POs'!$E$2:$E$26,"&lt;="&amp;B193)</x:f>
        <x:v>2500</x:v>
      </x:c>
      <x:c r="M193" s="76" t="n">
        <x:f>J193+L193</x:f>
        <x:v>13028</x:v>
      </x:c>
      <x:c r="N193" s="76" t="n">
        <x:f>SUMIFS($I$2:I193,$E$2:E193,E193)</x:f>
        <x:v>15105.2</x:v>
      </x:c>
      <x:c r="O193" s="76" t="n">
        <x:f>M193-N193</x:f>
        <x:v>-2077.2000000000007</x:v>
      </x:c>
      <x:c r="P193" s="71" t="str">
        <x:f>IF(O193&lt;0,"SHORT",IF(O193&lt;K193,"BELOW TARGET","COVERED"))</x:f>
        <x:v>SHORT</x:v>
      </x:c>
      <x:c r="Q193" s="63" t="n">
        <x:f>IF(AND(P193="SHORT",COUNTIFS($E$2:E193,E193,$P$2:P193,"SHORT")=1),B193,"")</x:f>
        <x:v>46270</x:v>
      </x:c>
    </x:row>
    <x:row r="194" ht="15" customHeight="1">
      <x:c r="A194" s="71" t="str">
        <x:v>SO-26071</x:v>
      </x:c>
      <x:c r="B194" s="75" t="n">
        <x:v>46270</x:v>
      </x:c>
      <x:c r="C194" s="71" t="str">
        <x:v>Normal</x:v>
      </x:c>
      <x:c r="D194" s="71" t="str">
        <x:v>FG-021</x:v>
      </x:c>
      <x:c r="E194" s="71" t="str">
        <x:v>RM-044</x:v>
      </x:c>
      <x:c r="F194" s="71" t="str">
        <x:v>Additive 044</x:v>
      </x:c>
      <x:c r="G194" s="76" t="n">
        <x:v>100</x:v>
      </x:c>
      <x:c r="H194" s="76" t="n">
        <x:v>70.82</x:v>
      </x:c>
      <x:c r="I194" s="76" t="n">
        <x:f>G194*H194</x:f>
        <x:v>7081.999999999999</x:v>
      </x:c>
      <x:c r="J194" s="76" t="n">
        <x:f>IFERROR(INDEX('Inventory'!$E$2:$E$71,MATCH(E194,'Inventory'!$A$2:$A$71,0)),0)</x:f>
        <x:v>10361</x:v>
      </x:c>
      <x:c r="K194" s="76" t="n">
        <x:f>IFERROR(INDEX('Inventory'!$F$2:$F$71,MATCH(E194,'Inventory'!$A$2:$A$71,0)),0)</x:f>
        <x:v>571</x:v>
      </x:c>
      <x:c r="L194" s="76" t="n">
        <x:f>SUMIFS('Open_POs'!$D$2:$D$26,'Open_POs'!$B$2:$B$26,E194,'Open_POs'!$E$2:$E$26,"&lt;="&amp;B194)</x:f>
        <x:v>0</x:v>
      </x:c>
      <x:c r="M194" s="76" t="n">
        <x:f>J194+L194</x:f>
        <x:v>10361</x:v>
      </x:c>
      <x:c r="N194" s="76" t="n">
        <x:f>SUMIFS($I$2:I194,$E$2:E194,E194)</x:f>
        <x:v>15795.399999999998</x:v>
      </x:c>
      <x:c r="O194" s="76" t="n">
        <x:f>M194-N194</x:f>
        <x:v>-5434.399999999998</x:v>
      </x:c>
      <x:c r="P194" s="71" t="str">
        <x:f>IF(O194&lt;0,"SHORT",IF(O194&lt;K194,"BELOW TARGET","COVERED"))</x:f>
        <x:v>SHORT</x:v>
      </x:c>
      <x:c r="Q194" s="63" t="n">
        <x:f>IF(AND(P194="SHORT",COUNTIFS($E$2:E194,E194,$P$2:P194,"SHORT")=1),B194,"")</x:f>
        <x:v>46270</x:v>
      </x:c>
    </x:row>
    <x:row r="195" ht="15" customHeight="1">
      <x:c r="A195" s="71" t="str">
        <x:v>SO-26071</x:v>
      </x:c>
      <x:c r="B195" s="75" t="n">
        <x:v>46270</x:v>
      </x:c>
      <x:c r="C195" s="71" t="str">
        <x:v>Normal</x:v>
      </x:c>
      <x:c r="D195" s="71" t="str">
        <x:v>FG-021</x:v>
      </x:c>
      <x:c r="E195" s="71" t="str">
        <x:v>RM-046</x:v>
      </x:c>
      <x:c r="F195" s="71" t="str">
        <x:v>Resin 046</x:v>
      </x:c>
      <x:c r="G195" s="76" t="n">
        <x:v>100</x:v>
      </x:c>
      <x:c r="H195" s="76" t="n">
        <x:v>25.17</x:v>
      </x:c>
      <x:c r="I195" s="76" t="n">
        <x:f>G195*H195</x:f>
        <x:v>2517</x:v>
      </x:c>
      <x:c r="J195" s="76" t="n">
        <x:f>IFERROR(INDEX('Inventory'!$E$2:$E$71,MATCH(E195,'Inventory'!$A$2:$A$71,0)),0)</x:f>
        <x:v>15936</x:v>
      </x:c>
      <x:c r="K195" s="76" t="n">
        <x:f>IFERROR(INDEX('Inventory'!$F$2:$F$71,MATCH(E195,'Inventory'!$A$2:$A$71,0)),0)</x:f>
        <x:v>991</x:v>
      </x:c>
      <x:c r="L195" s="76" t="n">
        <x:f>SUMIFS('Open_POs'!$D$2:$D$26,'Open_POs'!$B$2:$B$26,E195,'Open_POs'!$E$2:$E$26,"&lt;="&amp;B195)</x:f>
        <x:v>0</x:v>
      </x:c>
      <x:c r="M195" s="76" t="n">
        <x:f>J195+L195</x:f>
        <x:v>15936</x:v>
      </x:c>
      <x:c r="N195" s="76" t="n">
        <x:f>SUMIFS($I$2:I195,$E$2:E195,E195)</x:f>
        <x:v>5285.7</x:v>
      </x:c>
      <x:c r="O195" s="76" t="n">
        <x:f>M195-N195</x:f>
        <x:v>10650.3</x:v>
      </x:c>
      <x:c r="P195" s="71" t="str">
        <x:f>IF(O195&lt;0,"SHORT",IF(O195&lt;K195,"BELOW TARGET","COVERED"))</x:f>
        <x:v>COVERED</x:v>
      </x:c>
      <x:c r="Q195" s="63" t="str">
        <x:f>IF(AND(P195="SHORT",COUNTIFS($E$2:E195,E195,$P$2:P195,"SHORT")=1),B195,"")</x:f>
      </x:c>
    </x:row>
    <x:row r="196" ht="15" customHeight="1">
      <x:c r="A196" s="71" t="str">
        <x:v>SO-26071</x:v>
      </x:c>
      <x:c r="B196" s="75" t="n">
        <x:v>46270</x:v>
      </x:c>
      <x:c r="C196" s="71" t="str">
        <x:v>Normal</x:v>
      </x:c>
      <x:c r="D196" s="71" t="str">
        <x:v>FG-021</x:v>
      </x:c>
      <x:c r="E196" s="71" t="str">
        <x:v>RM-063</x:v>
      </x:c>
      <x:c r="F196" s="71" t="str">
        <x:v>Filler 063</x:v>
      </x:c>
      <x:c r="G196" s="76" t="n">
        <x:v>100</x:v>
      </x:c>
      <x:c r="H196" s="76" t="n">
        <x:v>76.56</x:v>
      </x:c>
      <x:c r="I196" s="76" t="n">
        <x:f>G196*H196</x:f>
        <x:v>7656</x:v>
      </x:c>
      <x:c r="J196" s="76" t="n">
        <x:f>IFERROR(INDEX('Inventory'!$E$2:$E$71,MATCH(E196,'Inventory'!$A$2:$A$71,0)),0)</x:f>
        <x:v>7508</x:v>
      </x:c>
      <x:c r="K196" s="76" t="n">
        <x:f>IFERROR(INDEX('Inventory'!$F$2:$F$71,MATCH(E196,'Inventory'!$A$2:$A$71,0)),0)</x:f>
        <x:v>1090</x:v>
      </x:c>
      <x:c r="L196" s="76" t="n">
        <x:f>SUMIFS('Open_POs'!$D$2:$D$26,'Open_POs'!$B$2:$B$26,E196,'Open_POs'!$E$2:$E$26,"&lt;="&amp;B196)</x:f>
        <x:v>5000</x:v>
      </x:c>
      <x:c r="M196" s="76" t="n">
        <x:f>J196+L196</x:f>
        <x:v>12508</x:v>
      </x:c>
      <x:c r="N196" s="76" t="n">
        <x:f>SUMIFS($I$2:I196,$E$2:E196,E196)</x:f>
        <x:v>39809.7</x:v>
      </x:c>
      <x:c r="O196" s="76" t="n">
        <x:f>M196-N196</x:f>
        <x:v>-27301.699999999997</x:v>
      </x:c>
      <x:c r="P196" s="71" t="str">
        <x:f>IF(O196&lt;0,"SHORT",IF(O196&lt;K196,"BELOW TARGET","COVERED"))</x:f>
        <x:v>SHORT</x:v>
      </x:c>
      <x:c r="Q196" s="63" t="str">
        <x:f>IF(AND(P196="SHORT",COUNTIFS($E$2:E196,E196,$P$2:P196,"SHORT")=1),B196,"")</x:f>
      </x:c>
    </x:row>
    <x:row r="197" ht="15" customHeight="1">
      <x:c r="A197" s="71" t="str">
        <x:v>SO-26001</x:v>
      </x:c>
      <x:c r="B197" s="75" t="n">
        <x:v>46271</x:v>
      </x:c>
      <x:c r="C197" s="71" t="str">
        <x:v>High</x:v>
      </x:c>
      <x:c r="D197" s="71" t="str">
        <x:v>FG-012</x:v>
      </x:c>
      <x:c r="E197" s="71" t="str">
        <x:v>RM-009</x:v>
      </x:c>
      <x:c r="F197" s="71" t="str">
        <x:v>Additive 009</x:v>
      </x:c>
      <x:c r="G197" s="76" t="n">
        <x:v>10</x:v>
      </x:c>
      <x:c r="H197" s="76" t="n">
        <x:v>142.56</x:v>
      </x:c>
      <x:c r="I197" s="76" t="n">
        <x:f>G197*H197</x:f>
        <x:v>1425.6</x:v>
      </x:c>
      <x:c r="J197" s="76" t="n">
        <x:f>IFERROR(INDEX('Inventory'!$E$2:$E$71,MATCH(E197,'Inventory'!$A$2:$A$71,0)),0)</x:f>
        <x:v>13813</x:v>
      </x:c>
      <x:c r="K197" s="76" t="n">
        <x:f>IFERROR(INDEX('Inventory'!$F$2:$F$71,MATCH(E197,'Inventory'!$A$2:$A$71,0)),0)</x:f>
        <x:v>1377</x:v>
      </x:c>
      <x:c r="L197" s="76" t="n">
        <x:f>SUMIFS('Open_POs'!$D$2:$D$26,'Open_POs'!$B$2:$B$26,E197,'Open_POs'!$E$2:$E$26,"&lt;="&amp;B197)</x:f>
        <x:v>0</x:v>
      </x:c>
      <x:c r="M197" s="76" t="n">
        <x:f>J197+L197</x:f>
        <x:v>13813</x:v>
      </x:c>
      <x:c r="N197" s="76" t="n">
        <x:f>SUMIFS($I$2:I197,$E$2:E197,E197)</x:f>
        <x:v>29515.4</x:v>
      </x:c>
      <x:c r="O197" s="76" t="n">
        <x:f>M197-N197</x:f>
        <x:v>-15702.400000000001</x:v>
      </x:c>
      <x:c r="P197" s="71" t="str">
        <x:f>IF(O197&lt;0,"SHORT",IF(O197&lt;K197,"BELOW TARGET","COVERED"))</x:f>
        <x:v>SHORT</x:v>
      </x:c>
      <x:c r="Q197" s="63" t="str">
        <x:f>IF(AND(P197="SHORT",COUNTIFS($E$2:E197,E197,$P$2:P197,"SHORT")=1),B197,"")</x:f>
      </x:c>
    </x:row>
    <x:row r="198" ht="15" customHeight="1">
      <x:c r="A198" s="71" t="str">
        <x:v>SO-26001</x:v>
      </x:c>
      <x:c r="B198" s="75" t="n">
        <x:v>46271</x:v>
      </x:c>
      <x:c r="C198" s="71" t="str">
        <x:v>High</x:v>
      </x:c>
      <x:c r="D198" s="71" t="str">
        <x:v>FG-012</x:v>
      </x:c>
      <x:c r="E198" s="71" t="str">
        <x:v>RM-016</x:v>
      </x:c>
      <x:c r="F198" s="71" t="str">
        <x:v>Resin 016</x:v>
      </x:c>
      <x:c r="G198" s="76" t="n">
        <x:v>10</x:v>
      </x:c>
      <x:c r="H198" s="76" t="n">
        <x:v>21.81</x:v>
      </x:c>
      <x:c r="I198" s="76" t="n">
        <x:f>G198*H198</x:f>
        <x:v>218.1</x:v>
      </x:c>
      <x:c r="J198" s="76" t="n">
        <x:f>IFERROR(INDEX('Inventory'!$E$2:$E$71,MATCH(E198,'Inventory'!$A$2:$A$71,0)),0)</x:f>
        <x:v>116</x:v>
      </x:c>
      <x:c r="K198" s="76" t="n">
        <x:f>IFERROR(INDEX('Inventory'!$F$2:$F$71,MATCH(E198,'Inventory'!$A$2:$A$71,0)),0)</x:f>
        <x:v>888</x:v>
      </x:c>
      <x:c r="L198" s="76" t="n">
        <x:f>SUMIFS('Open_POs'!$D$2:$D$26,'Open_POs'!$B$2:$B$26,E198,'Open_POs'!$E$2:$E$26,"&lt;="&amp;B198)</x:f>
        <x:v>0</x:v>
      </x:c>
      <x:c r="M198" s="76" t="n">
        <x:f>J198+L198</x:f>
        <x:v>116</x:v>
      </x:c>
      <x:c r="N198" s="76" t="n">
        <x:f>SUMIFS($I$2:I198,$E$2:E198,E198)</x:f>
        <x:v>5785.3</x:v>
      </x:c>
      <x:c r="O198" s="76" t="n">
        <x:f>M198-N198</x:f>
        <x:v>-5669.3</x:v>
      </x:c>
      <x:c r="P198" s="71" t="str">
        <x:f>IF(O198&lt;0,"SHORT",IF(O198&lt;K198,"BELOW TARGET","COVERED"))</x:f>
        <x:v>SHORT</x:v>
      </x:c>
      <x:c r="Q198" s="63" t="str">
        <x:f>IF(AND(P198="SHORT",COUNTIFS($E$2:E198,E198,$P$2:P198,"SHORT")=1),B198,"")</x:f>
      </x:c>
    </x:row>
    <x:row r="199" ht="15" customHeight="1">
      <x:c r="A199" s="71" t="str">
        <x:v>SO-26001</x:v>
      </x:c>
      <x:c r="B199" s="75" t="n">
        <x:v>46271</x:v>
      </x:c>
      <x:c r="C199" s="71" t="str">
        <x:v>High</x:v>
      </x:c>
      <x:c r="D199" s="71" t="str">
        <x:v>FG-012</x:v>
      </x:c>
      <x:c r="E199" s="71" t="str">
        <x:v>RM-024</x:v>
      </x:c>
      <x:c r="F199" s="71" t="str">
        <x:v>Additive 024</x:v>
      </x:c>
      <x:c r="G199" s="76" t="n">
        <x:v>10</x:v>
      </x:c>
      <x:c r="H199" s="76" t="n">
        <x:v>20.92</x:v>
      </x:c>
      <x:c r="I199" s="76" t="n">
        <x:f>G199*H199</x:f>
        <x:v>209.20000000000002</x:v>
      </x:c>
      <x:c r="J199" s="76" t="n">
        <x:f>IFERROR(INDEX('Inventory'!$E$2:$E$71,MATCH(E199,'Inventory'!$A$2:$A$71,0)),0)</x:f>
        <x:v>542</x:v>
      </x:c>
      <x:c r="K199" s="76" t="n">
        <x:f>IFERROR(INDEX('Inventory'!$F$2:$F$71,MATCH(E199,'Inventory'!$A$2:$A$71,0)),0)</x:f>
        <x:v>1356</x:v>
      </x:c>
      <x:c r="L199" s="76" t="n">
        <x:f>SUMIFS('Open_POs'!$D$2:$D$26,'Open_POs'!$B$2:$B$26,E199,'Open_POs'!$E$2:$E$26,"&lt;="&amp;B199)</x:f>
        <x:v>0</x:v>
      </x:c>
      <x:c r="M199" s="76" t="n">
        <x:f>J199+L199</x:f>
        <x:v>542</x:v>
      </x:c>
      <x:c r="N199" s="76" t="n">
        <x:f>SUMIFS($I$2:I199,$E$2:E199,E199)</x:f>
        <x:v>19244.600000000002</x:v>
      </x:c>
      <x:c r="O199" s="76" t="n">
        <x:f>M199-N199</x:f>
        <x:v>-18702.600000000002</x:v>
      </x:c>
      <x:c r="P199" s="71" t="str">
        <x:f>IF(O199&lt;0,"SHORT",IF(O199&lt;K199,"BELOW TARGET","COVERED"))</x:f>
        <x:v>SHORT</x:v>
      </x:c>
      <x:c r="Q199" s="63" t="str">
        <x:f>IF(AND(P199="SHORT",COUNTIFS($E$2:E199,E199,$P$2:P199,"SHORT")=1),B199,"")</x:f>
      </x:c>
    </x:row>
    <x:row r="200" ht="15" customHeight="1">
      <x:c r="A200" s="71" t="str">
        <x:v>SO-26001</x:v>
      </x:c>
      <x:c r="B200" s="75" t="n">
        <x:v>46271</x:v>
      </x:c>
      <x:c r="C200" s="71" t="str">
        <x:v>High</x:v>
      </x:c>
      <x:c r="D200" s="71" t="str">
        <x:v>FG-012</x:v>
      </x:c>
      <x:c r="E200" s="71" t="str">
        <x:v>RM-027</x:v>
      </x:c>
      <x:c r="F200" s="71" t="str">
        <x:v>Pigment 027</x:v>
      </x:c>
      <x:c r="G200" s="76" t="n">
        <x:v>10</x:v>
      </x:c>
      <x:c r="H200" s="76" t="n">
        <x:v>82.49</x:v>
      </x:c>
      <x:c r="I200" s="76" t="n">
        <x:f>G200*H200</x:f>
        <x:v>824.9</x:v>
      </x:c>
      <x:c r="J200" s="76" t="n">
        <x:f>IFERROR(INDEX('Inventory'!$E$2:$E$71,MATCH(E200,'Inventory'!$A$2:$A$71,0)),0)</x:f>
        <x:v>5600</x:v>
      </x:c>
      <x:c r="K200" s="76" t="n">
        <x:f>IFERROR(INDEX('Inventory'!$F$2:$F$71,MATCH(E200,'Inventory'!$A$2:$A$71,0)),0)</x:f>
        <x:v>267</x:v>
      </x:c>
      <x:c r="L200" s="76" t="n">
        <x:f>SUMIFS('Open_POs'!$D$2:$D$26,'Open_POs'!$B$2:$B$26,E200,'Open_POs'!$E$2:$E$26,"&lt;="&amp;B200)</x:f>
        <x:v>0</x:v>
      </x:c>
      <x:c r="M200" s="76" t="n">
        <x:f>J200+L200</x:f>
        <x:v>5600</x:v>
      </x:c>
      <x:c r="N200" s="76" t="n">
        <x:f>SUMIFS($I$2:I200,$E$2:E200,E200)</x:f>
        <x:v>7424.099999999999</x:v>
      </x:c>
      <x:c r="O200" s="76" t="n">
        <x:f>M200-N200</x:f>
        <x:v>-1824.0999999999995</x:v>
      </x:c>
      <x:c r="P200" s="71" t="str">
        <x:f>IF(O200&lt;0,"SHORT",IF(O200&lt;K200,"BELOW TARGET","COVERED"))</x:f>
        <x:v>SHORT</x:v>
      </x:c>
      <x:c r="Q200" s="63" t="str">
        <x:f>IF(AND(P200="SHORT",COUNTIFS($E$2:E200,E200,$P$2:P200,"SHORT")=1),B200,"")</x:f>
      </x:c>
    </x:row>
    <x:row r="201" ht="15" customHeight="1">
      <x:c r="A201" s="71" t="str">
        <x:v>SO-26001</x:v>
      </x:c>
      <x:c r="B201" s="75" t="n">
        <x:v>46271</x:v>
      </x:c>
      <x:c r="C201" s="71" t="str">
        <x:v>High</x:v>
      </x:c>
      <x:c r="D201" s="71" t="str">
        <x:v>FG-012</x:v>
      </x:c>
      <x:c r="E201" s="71" t="str">
        <x:v>RM-037</x:v>
      </x:c>
      <x:c r="F201" s="71" t="str">
        <x:v>Pigment 037</x:v>
      </x:c>
      <x:c r="G201" s="76" t="n">
        <x:v>10</x:v>
      </x:c>
      <x:c r="H201" s="76" t="n">
        <x:v>140.04</x:v>
      </x:c>
      <x:c r="I201" s="76" t="n">
        <x:f>G201*H201</x:f>
        <x:v>1400.3999999999999</x:v>
      </x:c>
      <x:c r="J201" s="76" t="n">
        <x:f>IFERROR(INDEX('Inventory'!$E$2:$E$71,MATCH(E201,'Inventory'!$A$2:$A$71,0)),0)</x:f>
        <x:v>14210</x:v>
      </x:c>
      <x:c r="K201" s="76" t="n">
        <x:f>IFERROR(INDEX('Inventory'!$F$2:$F$71,MATCH(E201,'Inventory'!$A$2:$A$71,0)),0)</x:f>
        <x:v>850</x:v>
      </x:c>
      <x:c r="L201" s="76" t="n">
        <x:f>SUMIFS('Open_POs'!$D$2:$D$26,'Open_POs'!$B$2:$B$26,E201,'Open_POs'!$E$2:$E$26,"&lt;="&amp;B201)</x:f>
        <x:v>0</x:v>
      </x:c>
      <x:c r="M201" s="76" t="n">
        <x:f>J201+L201</x:f>
        <x:v>14210</x:v>
      </x:c>
      <x:c r="N201" s="76" t="n">
        <x:f>SUMIFS($I$2:I201,$E$2:E201,E201)</x:f>
        <x:v>13924.899999999998</x:v>
      </x:c>
      <x:c r="O201" s="76" t="n">
        <x:f>M201-N201</x:f>
        <x:v>285.1000000000022</x:v>
      </x:c>
      <x:c r="P201" s="71" t="str">
        <x:f>IF(O201&lt;0,"SHORT",IF(O201&lt;K201,"BELOW TARGET","COVERED"))</x:f>
        <x:v>BELOW TARGET</x:v>
      </x:c>
      <x:c r="Q201" s="63" t="str">
        <x:f>IF(AND(P201="SHORT",COUNTIFS($E$2:E201,E201,$P$2:P201,"SHORT")=1),B201,"")</x:f>
      </x:c>
    </x:row>
    <x:row r="202" ht="15" customHeight="1">
      <x:c r="A202" s="71" t="str">
        <x:v>SO-26001</x:v>
      </x:c>
      <x:c r="B202" s="75" t="n">
        <x:v>46271</x:v>
      </x:c>
      <x:c r="C202" s="71" t="str">
        <x:v>High</x:v>
      </x:c>
      <x:c r="D202" s="71" t="str">
        <x:v>FG-012</x:v>
      </x:c>
      <x:c r="E202" s="71" t="str">
        <x:v>RM-038</x:v>
      </x:c>
      <x:c r="F202" s="71" t="str">
        <x:v>Filler 038</x:v>
      </x:c>
      <x:c r="G202" s="76" t="n">
        <x:v>10</x:v>
      </x:c>
      <x:c r="H202" s="76" t="n">
        <x:v>76.43</x:v>
      </x:c>
      <x:c r="I202" s="76" t="n">
        <x:f>G202*H202</x:f>
        <x:v>764.3000000000001</x:v>
      </x:c>
      <x:c r="J202" s="76" t="n">
        <x:f>IFERROR(INDEX('Inventory'!$E$2:$E$71,MATCH(E202,'Inventory'!$A$2:$A$71,0)),0)</x:f>
        <x:v>10042</x:v>
      </x:c>
      <x:c r="K202" s="76" t="n">
        <x:f>IFERROR(INDEX('Inventory'!$F$2:$F$71,MATCH(E202,'Inventory'!$A$2:$A$71,0)),0)</x:f>
        <x:v>1452</x:v>
      </x:c>
      <x:c r="L202" s="76" t="n">
        <x:f>SUMIFS('Open_POs'!$D$2:$D$26,'Open_POs'!$B$2:$B$26,E202,'Open_POs'!$E$2:$E$26,"&lt;="&amp;B202)</x:f>
        <x:v>10000</x:v>
      </x:c>
      <x:c r="M202" s="76" t="n">
        <x:f>J202+L202</x:f>
        <x:v>20042</x:v>
      </x:c>
      <x:c r="N202" s="76" t="n">
        <x:f>SUMIFS($I$2:I202,$E$2:E202,E202)</x:f>
        <x:v>16728.9</x:v>
      </x:c>
      <x:c r="O202" s="76" t="n">
        <x:f>M202-N202</x:f>
        <x:v>3313.0999999999985</x:v>
      </x:c>
      <x:c r="P202" s="71" t="str">
        <x:f>IF(O202&lt;0,"SHORT",IF(O202&lt;K202,"BELOW TARGET","COVERED"))</x:f>
        <x:v>COVERED</x:v>
      </x:c>
      <x:c r="Q202" s="63" t="str">
        <x:f>IF(AND(P202="SHORT",COUNTIFS($E$2:E202,E202,$P$2:P202,"SHORT")=1),B202,"")</x:f>
      </x:c>
    </x:row>
    <x:row r="203" ht="15" customHeight="1">
      <x:c r="A203" s="71" t="str">
        <x:v>SO-26001</x:v>
      </x:c>
      <x:c r="B203" s="75" t="n">
        <x:v>46271</x:v>
      </x:c>
      <x:c r="C203" s="71" t="str">
        <x:v>High</x:v>
      </x:c>
      <x:c r="D203" s="71" t="str">
        <x:v>FG-012</x:v>
      </x:c>
      <x:c r="E203" s="71" t="str">
        <x:v>RM-039</x:v>
      </x:c>
      <x:c r="F203" s="71" t="str">
        <x:v>Additive 039</x:v>
      </x:c>
      <x:c r="G203" s="76" t="n">
        <x:v>10</x:v>
      </x:c>
      <x:c r="H203" s="76" t="n">
        <x:v>125.26</x:v>
      </x:c>
      <x:c r="I203" s="76" t="n">
        <x:f>G203*H203</x:f>
        <x:v>1252.6000000000001</x:v>
      </x:c>
      <x:c r="J203" s="76" t="n">
        <x:f>IFERROR(INDEX('Inventory'!$E$2:$E$71,MATCH(E203,'Inventory'!$A$2:$A$71,0)),0)</x:f>
        <x:v>15593</x:v>
      </x:c>
      <x:c r="K203" s="76" t="n">
        <x:f>IFERROR(INDEX('Inventory'!$F$2:$F$71,MATCH(E203,'Inventory'!$A$2:$A$71,0)),0)</x:f>
        <x:v>1243</x:v>
      </x:c>
      <x:c r="L203" s="76" t="n">
        <x:f>SUMIFS('Open_POs'!$D$2:$D$26,'Open_POs'!$B$2:$B$26,E203,'Open_POs'!$E$2:$E$26,"&lt;="&amp;B203)</x:f>
        <x:v>0</x:v>
      </x:c>
      <x:c r="M203" s="76" t="n">
        <x:f>J203+L203</x:f>
        <x:v>15593</x:v>
      </x:c>
      <x:c r="N203" s="76" t="n">
        <x:f>SUMIFS($I$2:I203,$E$2:E203,E203)</x:f>
        <x:v>32594.999999999996</x:v>
      </x:c>
      <x:c r="O203" s="76" t="n">
        <x:f>M203-N203</x:f>
        <x:v>-17001.999999999996</x:v>
      </x:c>
      <x:c r="P203" s="71" t="str">
        <x:f>IF(O203&lt;0,"SHORT",IF(O203&lt;K203,"BELOW TARGET","COVERED"))</x:f>
        <x:v>SHORT</x:v>
      </x:c>
      <x:c r="Q203" s="63" t="str">
        <x:f>IF(AND(P203="SHORT",COUNTIFS($E$2:E203,E203,$P$2:P203,"SHORT")=1),B203,"")</x:f>
      </x:c>
    </x:row>
    <x:row r="204" ht="15" customHeight="1">
      <x:c r="A204" s="71" t="str">
        <x:v>SO-26001</x:v>
      </x:c>
      <x:c r="B204" s="75" t="n">
        <x:v>46271</x:v>
      </x:c>
      <x:c r="C204" s="71" t="str">
        <x:v>High</x:v>
      </x:c>
      <x:c r="D204" s="71" t="str">
        <x:v>FG-012</x:v>
      </x:c>
      <x:c r="E204" s="71" t="str">
        <x:v>RM-057</x:v>
      </x:c>
      <x:c r="F204" s="71" t="str">
        <x:v>Pigment 057</x:v>
      </x:c>
      <x:c r="G204" s="76" t="n">
        <x:v>10</x:v>
      </x:c>
      <x:c r="H204" s="76" t="n">
        <x:v>37.88</x:v>
      </x:c>
      <x:c r="I204" s="76" t="n">
        <x:f>G204*H204</x:f>
        <x:v>378.8</x:v>
      </x:c>
      <x:c r="J204" s="76" t="n">
        <x:f>IFERROR(INDEX('Inventory'!$E$2:$E$71,MATCH(E204,'Inventory'!$A$2:$A$71,0)),0)</x:f>
        <x:v>5779</x:v>
      </x:c>
      <x:c r="K204" s="76" t="n">
        <x:f>IFERROR(INDEX('Inventory'!$F$2:$F$71,MATCH(E204,'Inventory'!$A$2:$A$71,0)),0)</x:f>
        <x:v>1148</x:v>
      </x:c>
      <x:c r="L204" s="76" t="n">
        <x:f>SUMIFS('Open_POs'!$D$2:$D$26,'Open_POs'!$B$2:$B$26,E204,'Open_POs'!$E$2:$E$26,"&lt;="&amp;B204)</x:f>
        <x:v>0</x:v>
      </x:c>
      <x:c r="M204" s="76" t="n">
        <x:f>J204+L204</x:f>
        <x:v>5779</x:v>
      </x:c>
      <x:c r="N204" s="76" t="n">
        <x:f>SUMIFS($I$2:I204,$E$2:E204,E204)</x:f>
        <x:v>4034.4000000000005</x:v>
      </x:c>
      <x:c r="O204" s="76" t="n">
        <x:f>M204-N204</x:f>
        <x:v>1744.5999999999995</x:v>
      </x:c>
      <x:c r="P204" s="71" t="str">
        <x:f>IF(O204&lt;0,"SHORT",IF(O204&lt;K204,"BELOW TARGET","COVERED"))</x:f>
        <x:v>COVERED</x:v>
      </x:c>
      <x:c r="Q204" s="63" t="str">
        <x:f>IF(AND(P204="SHORT",COUNTIFS($E$2:E204,E204,$P$2:P204,"SHORT")=1),B204,"")</x:f>
      </x:c>
    </x:row>
    <x:row r="205" ht="15" customHeight="1">
      <x:c r="A205" s="71" t="str">
        <x:v>SO-26058</x:v>
      </x:c>
      <x:c r="B205" s="75" t="n">
        <x:v>46271</x:v>
      </x:c>
      <x:c r="C205" s="71" t="str">
        <x:v>Normal</x:v>
      </x:c>
      <x:c r="D205" s="71" t="str">
        <x:v>FG-008</x:v>
      </x:c>
      <x:c r="E205" s="71" t="str">
        <x:v>RM-001</x:v>
      </x:c>
      <x:c r="F205" s="71" t="str">
        <x:v>Resin 001</x:v>
      </x:c>
      <x:c r="G205" s="76" t="n">
        <x:v>100</x:v>
      </x:c>
      <x:c r="H205" s="76" t="n">
        <x:v>60.72</x:v>
      </x:c>
      <x:c r="I205" s="76" t="n">
        <x:f>G205*H205</x:f>
        <x:v>6072</x:v>
      </x:c>
      <x:c r="J205" s="76" t="n">
        <x:f>IFERROR(INDEX('Inventory'!$E$2:$E$71,MATCH(E205,'Inventory'!$A$2:$A$71,0)),0)</x:f>
        <x:v>9214</x:v>
      </x:c>
      <x:c r="K205" s="76" t="n">
        <x:f>IFERROR(INDEX('Inventory'!$F$2:$F$71,MATCH(E205,'Inventory'!$A$2:$A$71,0)),0)</x:f>
        <x:v>713</x:v>
      </x:c>
      <x:c r="L205" s="76" t="n">
        <x:f>SUMIFS('Open_POs'!$D$2:$D$26,'Open_POs'!$B$2:$B$26,E205,'Open_POs'!$E$2:$E$26,"&lt;="&amp;B205)</x:f>
        <x:v>0</x:v>
      </x:c>
      <x:c r="M205" s="76" t="n">
        <x:f>J205+L205</x:f>
        <x:v>9214</x:v>
      </x:c>
      <x:c r="N205" s="76" t="n">
        <x:f>SUMIFS($I$2:I205,$E$2:E205,E205)</x:f>
        <x:v>18035.7</x:v>
      </x:c>
      <x:c r="O205" s="76" t="n">
        <x:f>M205-N205</x:f>
        <x:v>-8821.7</x:v>
      </x:c>
      <x:c r="P205" s="71" t="str">
        <x:f>IF(O205&lt;0,"SHORT",IF(O205&lt;K205,"BELOW TARGET","COVERED"))</x:f>
        <x:v>SHORT</x:v>
      </x:c>
      <x:c r="Q205" s="63" t="str">
        <x:f>IF(AND(P205="SHORT",COUNTIFS($E$2:E205,E205,$P$2:P205,"SHORT")=1),B205,"")</x:f>
      </x:c>
    </x:row>
    <x:row r="206" ht="15" customHeight="1">
      <x:c r="A206" s="71" t="str">
        <x:v>SO-26058</x:v>
      </x:c>
      <x:c r="B206" s="75" t="n">
        <x:v>46271</x:v>
      </x:c>
      <x:c r="C206" s="71" t="str">
        <x:v>Normal</x:v>
      </x:c>
      <x:c r="D206" s="71" t="str">
        <x:v>FG-008</x:v>
      </x:c>
      <x:c r="E206" s="71" t="str">
        <x:v>RM-019</x:v>
      </x:c>
      <x:c r="F206" s="71" t="str">
        <x:v>Additive 019</x:v>
      </x:c>
      <x:c r="G206" s="76" t="n">
        <x:v>100</x:v>
      </x:c>
      <x:c r="H206" s="76" t="n">
        <x:v>66.18</x:v>
      </x:c>
      <x:c r="I206" s="76" t="n">
        <x:f>G206*H206</x:f>
        <x:v>6618.000000000001</x:v>
      </x:c>
      <x:c r="J206" s="76" t="n">
        <x:f>IFERROR(INDEX('Inventory'!$E$2:$E$71,MATCH(E206,'Inventory'!$A$2:$A$71,0)),0)</x:f>
        <x:v>6552</x:v>
      </x:c>
      <x:c r="K206" s="76" t="n">
        <x:f>IFERROR(INDEX('Inventory'!$F$2:$F$71,MATCH(E206,'Inventory'!$A$2:$A$71,0)),0)</x:f>
        <x:v>1079</x:v>
      </x:c>
      <x:c r="L206" s="76" t="n">
        <x:f>SUMIFS('Open_POs'!$D$2:$D$26,'Open_POs'!$B$2:$B$26,E206,'Open_POs'!$E$2:$E$26,"&lt;="&amp;B206)</x:f>
        <x:v>0</x:v>
      </x:c>
      <x:c r="M206" s="76" t="n">
        <x:f>J206+L206</x:f>
        <x:v>6552</x:v>
      </x:c>
      <x:c r="N206" s="76" t="n">
        <x:f>SUMIFS($I$2:I206,$E$2:E206,E206)</x:f>
        <x:v>9137.400000000001</x:v>
      </x:c>
      <x:c r="O206" s="76" t="n">
        <x:f>M206-N206</x:f>
        <x:v>-2585.4000000000015</x:v>
      </x:c>
      <x:c r="P206" s="71" t="str">
        <x:f>IF(O206&lt;0,"SHORT",IF(O206&lt;K206,"BELOW TARGET","COVERED"))</x:f>
        <x:v>SHORT</x:v>
      </x:c>
      <x:c r="Q206" s="63" t="n">
        <x:f>IF(AND(P206="SHORT",COUNTIFS($E$2:E206,E206,$P$2:P206,"SHORT")=1),B206,"")</x:f>
        <x:v>46271</x:v>
      </x:c>
    </x:row>
    <x:row r="207" ht="15" customHeight="1">
      <x:c r="A207" s="71" t="str">
        <x:v>SO-26058</x:v>
      </x:c>
      <x:c r="B207" s="75" t="n">
        <x:v>46271</x:v>
      </x:c>
      <x:c r="C207" s="71" t="str">
        <x:v>Normal</x:v>
      </x:c>
      <x:c r="D207" s="71" t="str">
        <x:v>FG-008</x:v>
      </x:c>
      <x:c r="E207" s="71" t="str">
        <x:v>RM-057</x:v>
      </x:c>
      <x:c r="F207" s="71" t="str">
        <x:v>Pigment 057</x:v>
      </x:c>
      <x:c r="G207" s="76" t="n">
        <x:v>100</x:v>
      </x:c>
      <x:c r="H207" s="76" t="n">
        <x:v>41.54</x:v>
      </x:c>
      <x:c r="I207" s="76" t="n">
        <x:f>G207*H207</x:f>
        <x:v>4154</x:v>
      </x:c>
      <x:c r="J207" s="76" t="n">
        <x:f>IFERROR(INDEX('Inventory'!$E$2:$E$71,MATCH(E207,'Inventory'!$A$2:$A$71,0)),0)</x:f>
        <x:v>5779</x:v>
      </x:c>
      <x:c r="K207" s="76" t="n">
        <x:f>IFERROR(INDEX('Inventory'!$F$2:$F$71,MATCH(E207,'Inventory'!$A$2:$A$71,0)),0)</x:f>
        <x:v>1148</x:v>
      </x:c>
      <x:c r="L207" s="76" t="n">
        <x:f>SUMIFS('Open_POs'!$D$2:$D$26,'Open_POs'!$B$2:$B$26,E207,'Open_POs'!$E$2:$E$26,"&lt;="&amp;B207)</x:f>
        <x:v>0</x:v>
      </x:c>
      <x:c r="M207" s="76" t="n">
        <x:f>J207+L207</x:f>
        <x:v>5779</x:v>
      </x:c>
      <x:c r="N207" s="76" t="n">
        <x:f>SUMIFS($I$2:I207,$E$2:E207,E207)</x:f>
        <x:v>8188.400000000001</x:v>
      </x:c>
      <x:c r="O207" s="76" t="n">
        <x:f>M207-N207</x:f>
        <x:v>-2409.4000000000005</x:v>
      </x:c>
      <x:c r="P207" s="71" t="str">
        <x:f>IF(O207&lt;0,"SHORT",IF(O207&lt;K207,"BELOW TARGET","COVERED"))</x:f>
        <x:v>SHORT</x:v>
      </x:c>
      <x:c r="Q207" s="63" t="n">
        <x:f>IF(AND(P207="SHORT",COUNTIFS($E$2:E207,E207,$P$2:P207,"SHORT")=1),B207,"")</x:f>
        <x:v>46271</x:v>
      </x:c>
    </x:row>
    <x:row r="208" ht="15" customHeight="1">
      <x:c r="A208" s="71" t="str">
        <x:v>SO-26058</x:v>
      </x:c>
      <x:c r="B208" s="75" t="n">
        <x:v>46271</x:v>
      </x:c>
      <x:c r="C208" s="71" t="str">
        <x:v>Normal</x:v>
      </x:c>
      <x:c r="D208" s="71" t="str">
        <x:v>FG-008</x:v>
      </x:c>
      <x:c r="E208" s="71" t="str">
        <x:v>RM-058</x:v>
      </x:c>
      <x:c r="F208" s="71" t="str">
        <x:v>Filler 058</x:v>
      </x:c>
      <x:c r="G208" s="76" t="n">
        <x:v>100</x:v>
      </x:c>
      <x:c r="H208" s="76" t="n">
        <x:v>23.07</x:v>
      </x:c>
      <x:c r="I208" s="76" t="n">
        <x:f>G208*H208</x:f>
        <x:v>2307</x:v>
      </x:c>
      <x:c r="J208" s="76" t="n">
        <x:f>IFERROR(INDEX('Inventory'!$E$2:$E$71,MATCH(E208,'Inventory'!$A$2:$A$71,0)),0)</x:f>
        <x:v>9929</x:v>
      </x:c>
      <x:c r="K208" s="76" t="n">
        <x:f>IFERROR(INDEX('Inventory'!$F$2:$F$71,MATCH(E208,'Inventory'!$A$2:$A$71,0)),0)</x:f>
        <x:v>701</x:v>
      </x:c>
      <x:c r="L208" s="76" t="n">
        <x:f>SUMIFS('Open_POs'!$D$2:$D$26,'Open_POs'!$B$2:$B$26,E208,'Open_POs'!$E$2:$E$26,"&lt;="&amp;B208)</x:f>
        <x:v>0</x:v>
      </x:c>
      <x:c r="M208" s="76" t="n">
        <x:f>J208+L208</x:f>
        <x:v>9929</x:v>
      </x:c>
      <x:c r="N208" s="76" t="n">
        <x:f>SUMIFS($I$2:I208,$E$2:E208,E208)</x:f>
        <x:v>28811.9</x:v>
      </x:c>
      <x:c r="O208" s="76" t="n">
        <x:f>M208-N208</x:f>
        <x:v>-18882.9</x:v>
      </x:c>
      <x:c r="P208" s="71" t="str">
        <x:f>IF(O208&lt;0,"SHORT",IF(O208&lt;K208,"BELOW TARGET","COVERED"))</x:f>
        <x:v>SHORT</x:v>
      </x:c>
      <x:c r="Q208" s="63" t="str">
        <x:f>IF(AND(P208="SHORT",COUNTIFS($E$2:E208,E208,$P$2:P208,"SHORT")=1),B208,"")</x:f>
      </x:c>
    </x:row>
    <x:row r="209" ht="15" customHeight="1">
      <x:c r="A209" s="71" t="str">
        <x:v>SO-26058</x:v>
      </x:c>
      <x:c r="B209" s="75" t="n">
        <x:v>46271</x:v>
      </x:c>
      <x:c r="C209" s="71" t="str">
        <x:v>Normal</x:v>
      </x:c>
      <x:c r="D209" s="71" t="str">
        <x:v>FG-008</x:v>
      </x:c>
      <x:c r="E209" s="71" t="str">
        <x:v>RM-064</x:v>
      </x:c>
      <x:c r="F209" s="71" t="str">
        <x:v>Additive 064</x:v>
      </x:c>
      <x:c r="G209" s="76" t="n">
        <x:v>100</x:v>
      </x:c>
      <x:c r="H209" s="76" t="n">
        <x:v>22.26</x:v>
      </x:c>
      <x:c r="I209" s="76" t="n">
        <x:f>G209*H209</x:f>
        <x:v>2226</x:v>
      </x:c>
      <x:c r="J209" s="76" t="n">
        <x:f>IFERROR(INDEX('Inventory'!$E$2:$E$71,MATCH(E209,'Inventory'!$A$2:$A$71,0)),0)</x:f>
        <x:v>299</x:v>
      </x:c>
      <x:c r="K209" s="76" t="n">
        <x:f>IFERROR(INDEX('Inventory'!$F$2:$F$71,MATCH(E209,'Inventory'!$A$2:$A$71,0)),0)</x:f>
        <x:v>1464</x:v>
      </x:c>
      <x:c r="L209" s="76" t="n">
        <x:f>SUMIFS('Open_POs'!$D$2:$D$26,'Open_POs'!$B$2:$B$26,E209,'Open_POs'!$E$2:$E$26,"&lt;="&amp;B209)</x:f>
        <x:v>0</x:v>
      </x:c>
      <x:c r="M209" s="76" t="n">
        <x:f>J209+L209</x:f>
        <x:v>299</x:v>
      </x:c>
      <x:c r="N209" s="76" t="n">
        <x:f>SUMIFS($I$2:I209,$E$2:E209,E209)</x:f>
        <x:v>2226</x:v>
      </x:c>
      <x:c r="O209" s="76" t="n">
        <x:f>M209-N209</x:f>
        <x:v>-1927</x:v>
      </x:c>
      <x:c r="P209" s="71" t="str">
        <x:f>IF(O209&lt;0,"SHORT",IF(O209&lt;K209,"BELOW TARGET","COVERED"))</x:f>
        <x:v>SHORT</x:v>
      </x:c>
      <x:c r="Q209" s="63" t="n">
        <x:f>IF(AND(P209="SHORT",COUNTIFS($E$2:E209,E209,$P$2:P209,"SHORT")=1),B209,"")</x:f>
        <x:v>46271</x:v>
      </x:c>
    </x:row>
    <x:row r="210" ht="15" customHeight="1">
      <x:c r="A210" s="71" t="str">
        <x:v>SO-26016</x:v>
      </x:c>
      <x:c r="B210" s="75" t="n">
        <x:v>46272</x:v>
      </x:c>
      <x:c r="C210" s="71" t="str">
        <x:v>High</x:v>
      </x:c>
      <x:c r="D210" s="71" t="str">
        <x:v>FG-023</x:v>
      </x:c>
      <x:c r="E210" s="71" t="str">
        <x:v>RM-010</x:v>
      </x:c>
      <x:c r="F210" s="71" t="str">
        <x:v>Packaging 010</x:v>
      </x:c>
      <x:c r="G210" s="76" t="n">
        <x:v>50</x:v>
      </x:c>
      <x:c r="H210" s="76" t="n">
        <x:v>59.53</x:v>
      </x:c>
      <x:c r="I210" s="76" t="n">
        <x:f>G210*H210</x:f>
        <x:v>2976.5</x:v>
      </x:c>
      <x:c r="J210" s="76" t="n">
        <x:f>IFERROR(INDEX('Inventory'!$E$2:$E$71,MATCH(E210,'Inventory'!$A$2:$A$71,0)),0)</x:f>
        <x:v>14191</x:v>
      </x:c>
      <x:c r="K210" s="76" t="n">
        <x:f>IFERROR(INDEX('Inventory'!$F$2:$F$71,MATCH(E210,'Inventory'!$A$2:$A$71,0)),0)</x:f>
        <x:v>615</x:v>
      </x:c>
      <x:c r="L210" s="76" t="n">
        <x:f>SUMIFS('Open_POs'!$D$2:$D$26,'Open_POs'!$B$2:$B$26,E210,'Open_POs'!$E$2:$E$26,"&lt;="&amp;B210)</x:f>
        <x:v>0</x:v>
      </x:c>
      <x:c r="M210" s="76" t="n">
        <x:f>J210+L210</x:f>
        <x:v>14191</x:v>
      </x:c>
      <x:c r="N210" s="76" t="n">
        <x:f>SUMIFS($I$2:I210,$E$2:E210,E210)</x:f>
        <x:v>27429.800000000003</x:v>
      </x:c>
      <x:c r="O210" s="76" t="n">
        <x:f>M210-N210</x:f>
        <x:v>-13238.800000000003</x:v>
      </x:c>
      <x:c r="P210" s="71" t="str">
        <x:f>IF(O210&lt;0,"SHORT",IF(O210&lt;K210,"BELOW TARGET","COVERED"))</x:f>
        <x:v>SHORT</x:v>
      </x:c>
      <x:c r="Q210" s="63" t="str">
        <x:f>IF(AND(P210="SHORT",COUNTIFS($E$2:E210,E210,$P$2:P210,"SHORT")=1),B210,"")</x:f>
      </x:c>
    </x:row>
    <x:row r="211" ht="15" customHeight="1">
      <x:c r="A211" s="71" t="str">
        <x:v>SO-26016</x:v>
      </x:c>
      <x:c r="B211" s="75" t="n">
        <x:v>46272</x:v>
      </x:c>
      <x:c r="C211" s="71" t="str">
        <x:v>High</x:v>
      </x:c>
      <x:c r="D211" s="71" t="str">
        <x:v>FG-023</x:v>
      </x:c>
      <x:c r="E211" s="71" t="str">
        <x:v>RM-032</x:v>
      </x:c>
      <x:c r="F211" s="71" t="str">
        <x:v>Pigment 032</x:v>
      </x:c>
      <x:c r="G211" s="76" t="n">
        <x:v>50</x:v>
      </x:c>
      <x:c r="H211" s="76" t="n">
        <x:v>80.54</x:v>
      </x:c>
      <x:c r="I211" s="76" t="n">
        <x:f>G211*H211</x:f>
        <x:v>4027.0000000000005</x:v>
      </x:c>
      <x:c r="J211" s="76" t="n">
        <x:f>IFERROR(INDEX('Inventory'!$E$2:$E$71,MATCH(E211,'Inventory'!$A$2:$A$71,0)),0)</x:f>
        <x:v>674</x:v>
      </x:c>
      <x:c r="K211" s="76" t="n">
        <x:f>IFERROR(INDEX('Inventory'!$F$2:$F$71,MATCH(E211,'Inventory'!$A$2:$A$71,0)),0)</x:f>
        <x:v>1056</x:v>
      </x:c>
      <x:c r="L211" s="76" t="n">
        <x:f>SUMIFS('Open_POs'!$D$2:$D$26,'Open_POs'!$B$2:$B$26,E211,'Open_POs'!$E$2:$E$26,"&lt;="&amp;B211)</x:f>
        <x:v>0</x:v>
      </x:c>
      <x:c r="M211" s="76" t="n">
        <x:f>J211+L211</x:f>
        <x:v>674</x:v>
      </x:c>
      <x:c r="N211" s="76" t="n">
        <x:f>SUMIFS($I$2:I211,$E$2:E211,E211)</x:f>
        <x:v>38372.1</x:v>
      </x:c>
      <x:c r="O211" s="76" t="n">
        <x:f>M211-N211</x:f>
        <x:v>-37698.1</x:v>
      </x:c>
      <x:c r="P211" s="71" t="str">
        <x:f>IF(O211&lt;0,"SHORT",IF(O211&lt;K211,"BELOW TARGET","COVERED"))</x:f>
        <x:v>SHORT</x:v>
      </x:c>
      <x:c r="Q211" s="63" t="str">
        <x:f>IF(AND(P211="SHORT",COUNTIFS($E$2:E211,E211,$P$2:P211,"SHORT")=1),B211,"")</x:f>
      </x:c>
    </x:row>
    <x:row r="212" ht="15" customHeight="1">
      <x:c r="A212" s="71" t="str">
        <x:v>SO-26016</x:v>
      </x:c>
      <x:c r="B212" s="75" t="n">
        <x:v>46272</x:v>
      </x:c>
      <x:c r="C212" s="71" t="str">
        <x:v>High</x:v>
      </x:c>
      <x:c r="D212" s="71" t="str">
        <x:v>FG-023</x:v>
      </x:c>
      <x:c r="E212" s="71" t="str">
        <x:v>RM-046</x:v>
      </x:c>
      <x:c r="F212" s="71" t="str">
        <x:v>Resin 046</x:v>
      </x:c>
      <x:c r="G212" s="76" t="n">
        <x:v>50</x:v>
      </x:c>
      <x:c r="H212" s="76" t="n">
        <x:v>65.28</x:v>
      </x:c>
      <x:c r="I212" s="76" t="n">
        <x:f>G212*H212</x:f>
        <x:v>3264</x:v>
      </x:c>
      <x:c r="J212" s="76" t="n">
        <x:f>IFERROR(INDEX('Inventory'!$E$2:$E$71,MATCH(E212,'Inventory'!$A$2:$A$71,0)),0)</x:f>
        <x:v>15936</x:v>
      </x:c>
      <x:c r="K212" s="76" t="n">
        <x:f>IFERROR(INDEX('Inventory'!$F$2:$F$71,MATCH(E212,'Inventory'!$A$2:$A$71,0)),0)</x:f>
        <x:v>991</x:v>
      </x:c>
      <x:c r="L212" s="76" t="n">
        <x:f>SUMIFS('Open_POs'!$D$2:$D$26,'Open_POs'!$B$2:$B$26,E212,'Open_POs'!$E$2:$E$26,"&lt;="&amp;B212)</x:f>
        <x:v>0</x:v>
      </x:c>
      <x:c r="M212" s="76" t="n">
        <x:f>J212+L212</x:f>
        <x:v>15936</x:v>
      </x:c>
      <x:c r="N212" s="76" t="n">
        <x:f>SUMIFS($I$2:I212,$E$2:E212,E212)</x:f>
        <x:v>8549.7</x:v>
      </x:c>
      <x:c r="O212" s="76" t="n">
        <x:f>M212-N212</x:f>
        <x:v>7386.299999999999</x:v>
      </x:c>
      <x:c r="P212" s="71" t="str">
        <x:f>IF(O212&lt;0,"SHORT",IF(O212&lt;K212,"BELOW TARGET","COVERED"))</x:f>
        <x:v>COVERED</x:v>
      </x:c>
      <x:c r="Q212" s="63" t="str">
        <x:f>IF(AND(P212="SHORT",COUNTIFS($E$2:E212,E212,$P$2:P212,"SHORT")=1),B212,"")</x:f>
      </x:c>
    </x:row>
    <x:row r="213" ht="15" customHeight="1">
      <x:c r="A213" s="71" t="str">
        <x:v>SO-26016</x:v>
      </x:c>
      <x:c r="B213" s="75" t="n">
        <x:v>46272</x:v>
      </x:c>
      <x:c r="C213" s="71" t="str">
        <x:v>High</x:v>
      </x:c>
      <x:c r="D213" s="71" t="str">
        <x:v>FG-023</x:v>
      </x:c>
      <x:c r="E213" s="71" t="str">
        <x:v>RM-053</x:v>
      </x:c>
      <x:c r="F213" s="71" t="str">
        <x:v>Filler 053</x:v>
      </x:c>
      <x:c r="G213" s="76" t="n">
        <x:v>50</x:v>
      </x:c>
      <x:c r="H213" s="76" t="n">
        <x:v>39.3</x:v>
      </x:c>
      <x:c r="I213" s="76" t="n">
        <x:f>G213*H213</x:f>
        <x:v>1964.9999999999998</x:v>
      </x:c>
      <x:c r="J213" s="76" t="n">
        <x:f>IFERROR(INDEX('Inventory'!$E$2:$E$71,MATCH(E213,'Inventory'!$A$2:$A$71,0)),0)</x:f>
        <x:v>3714</x:v>
      </x:c>
      <x:c r="K213" s="76" t="n">
        <x:f>IFERROR(INDEX('Inventory'!$F$2:$F$71,MATCH(E213,'Inventory'!$A$2:$A$71,0)),0)</x:f>
        <x:v>773</x:v>
      </x:c>
      <x:c r="L213" s="76" t="n">
        <x:f>SUMIFS('Open_POs'!$D$2:$D$26,'Open_POs'!$B$2:$B$26,E213,'Open_POs'!$E$2:$E$26,"&lt;="&amp;B213)</x:f>
        <x:v>0</x:v>
      </x:c>
      <x:c r="M213" s="76" t="n">
        <x:f>J213+L213</x:f>
        <x:v>3714</x:v>
      </x:c>
      <x:c r="N213" s="76" t="n">
        <x:f>SUMIFS($I$2:I213,$E$2:E213,E213)</x:f>
        <x:v>17892.8</x:v>
      </x:c>
      <x:c r="O213" s="76" t="n">
        <x:f>M213-N213</x:f>
        <x:v>-14178.8</x:v>
      </x:c>
      <x:c r="P213" s="71" t="str">
        <x:f>IF(O213&lt;0,"SHORT",IF(O213&lt;K213,"BELOW TARGET","COVERED"))</x:f>
        <x:v>SHORT</x:v>
      </x:c>
      <x:c r="Q213" s="63" t="str">
        <x:f>IF(AND(P213="SHORT",COUNTIFS($E$2:E213,E213,$P$2:P213,"SHORT")=1),B213,"")</x:f>
      </x:c>
    </x:row>
    <x:row r="214" ht="15" customHeight="1">
      <x:c r="A214" s="71" t="str">
        <x:v>SO-26016</x:v>
      </x:c>
      <x:c r="B214" s="75" t="n">
        <x:v>46272</x:v>
      </x:c>
      <x:c r="C214" s="71" t="str">
        <x:v>High</x:v>
      </x:c>
      <x:c r="D214" s="71" t="str">
        <x:v>FG-023</x:v>
      </x:c>
      <x:c r="E214" s="71" t="str">
        <x:v>RM-059</x:v>
      </x:c>
      <x:c r="F214" s="71" t="str">
        <x:v>Additive 059</x:v>
      </x:c>
      <x:c r="G214" s="76" t="n">
        <x:v>50</x:v>
      </x:c>
      <x:c r="H214" s="76" t="n">
        <x:v>62.42</x:v>
      </x:c>
      <x:c r="I214" s="76" t="n">
        <x:f>G214*H214</x:f>
        <x:v>3121</x:v>
      </x:c>
      <x:c r="J214" s="76" t="n">
        <x:f>IFERROR(INDEX('Inventory'!$E$2:$E$71,MATCH(E214,'Inventory'!$A$2:$A$71,0)),0)</x:f>
        <x:v>10488</x:v>
      </x:c>
      <x:c r="K214" s="76" t="n">
        <x:f>IFERROR(INDEX('Inventory'!$F$2:$F$71,MATCH(E214,'Inventory'!$A$2:$A$71,0)),0)</x:f>
        <x:v>1442</x:v>
      </x:c>
      <x:c r="L214" s="76" t="n">
        <x:f>SUMIFS('Open_POs'!$D$2:$D$26,'Open_POs'!$B$2:$B$26,E214,'Open_POs'!$E$2:$E$26,"&lt;="&amp;B214)</x:f>
        <x:v>0</x:v>
      </x:c>
      <x:c r="M214" s="76" t="n">
        <x:f>J214+L214</x:f>
        <x:v>10488</x:v>
      </x:c>
      <x:c r="N214" s="76" t="n">
        <x:f>SUMIFS($I$2:I214,$E$2:E214,E214)</x:f>
        <x:v>22446.000000000004</x:v>
      </x:c>
      <x:c r="O214" s="76" t="n">
        <x:f>M214-N214</x:f>
        <x:v>-11958.000000000004</x:v>
      </x:c>
      <x:c r="P214" s="71" t="str">
        <x:f>IF(O214&lt;0,"SHORT",IF(O214&lt;K214,"BELOW TARGET","COVERED"))</x:f>
        <x:v>SHORT</x:v>
      </x:c>
      <x:c r="Q214" s="63" t="str">
        <x:f>IF(AND(P214="SHORT",COUNTIFS($E$2:E214,E214,$P$2:P214,"SHORT")=1),B214,"")</x:f>
      </x:c>
    </x:row>
    <x:row r="215" ht="15" customHeight="1">
      <x:c r="A215" s="71" t="str">
        <x:v>SO-26016</x:v>
      </x:c>
      <x:c r="B215" s="75" t="n">
        <x:v>46272</x:v>
      </x:c>
      <x:c r="C215" s="71" t="str">
        <x:v>High</x:v>
      </x:c>
      <x:c r="D215" s="71" t="str">
        <x:v>FG-023</x:v>
      </x:c>
      <x:c r="E215" s="71" t="str">
        <x:v>RM-060</x:v>
      </x:c>
      <x:c r="F215" s="71" t="str">
        <x:v>Packaging 060</x:v>
      </x:c>
      <x:c r="G215" s="76" t="n">
        <x:v>50</x:v>
      </x:c>
      <x:c r="H215" s="76" t="n">
        <x:v>48.46</x:v>
      </x:c>
      <x:c r="I215" s="76" t="n">
        <x:f>G215*H215</x:f>
        <x:v>2423</x:v>
      </x:c>
      <x:c r="J215" s="76" t="n">
        <x:f>IFERROR(INDEX('Inventory'!$E$2:$E$71,MATCH(E215,'Inventory'!$A$2:$A$71,0)),0)</x:f>
        <x:v>17534</x:v>
      </x:c>
      <x:c r="K215" s="76" t="n">
        <x:f>IFERROR(INDEX('Inventory'!$F$2:$F$71,MATCH(E215,'Inventory'!$A$2:$A$71,0)),0)</x:f>
        <x:v>189</x:v>
      </x:c>
      <x:c r="L215" s="76" t="n">
        <x:f>SUMIFS('Open_POs'!$D$2:$D$26,'Open_POs'!$B$2:$B$26,E215,'Open_POs'!$E$2:$E$26,"&lt;="&amp;B215)</x:f>
        <x:v>5000</x:v>
      </x:c>
      <x:c r="M215" s="76" t="n">
        <x:f>J215+L215</x:f>
        <x:v>22534</x:v>
      </x:c>
      <x:c r="N215" s="76" t="n">
        <x:f>SUMIFS($I$2:I215,$E$2:E215,E215)</x:f>
        <x:v>4596.2</x:v>
      </x:c>
      <x:c r="O215" s="76" t="n">
        <x:f>M215-N215</x:f>
        <x:v>17937.8</x:v>
      </x:c>
      <x:c r="P215" s="71" t="str">
        <x:f>IF(O215&lt;0,"SHORT",IF(O215&lt;K215,"BELOW TARGET","COVERED"))</x:f>
        <x:v>COVERED</x:v>
      </x:c>
      <x:c r="Q215" s="63" t="str">
        <x:f>IF(AND(P215="SHORT",COUNTIFS($E$2:E215,E215,$P$2:P215,"SHORT")=1),B215,"")</x:f>
      </x:c>
    </x:row>
    <x:row r="216" ht="15" customHeight="1">
      <x:c r="A216" s="71" t="str">
        <x:v>SO-26016</x:v>
      </x:c>
      <x:c r="B216" s="75" t="n">
        <x:v>46272</x:v>
      </x:c>
      <x:c r="C216" s="71" t="str">
        <x:v>High</x:v>
      </x:c>
      <x:c r="D216" s="71" t="str">
        <x:v>FG-023</x:v>
      </x:c>
      <x:c r="E216" s="71" t="str">
        <x:v>RM-067</x:v>
      </x:c>
      <x:c r="F216" s="71" t="str">
        <x:v>Pigment 067</x:v>
      </x:c>
      <x:c r="G216" s="76" t="n">
        <x:v>50</x:v>
      </x:c>
      <x:c r="H216" s="76" t="n">
        <x:v>43.39</x:v>
      </x:c>
      <x:c r="I216" s="76" t="n">
        <x:f>G216*H216</x:f>
        <x:v>2169.5</x:v>
      </x:c>
      <x:c r="J216" s="76" t="n">
        <x:f>IFERROR(INDEX('Inventory'!$E$2:$E$71,MATCH(E216,'Inventory'!$A$2:$A$71,0)),0)</x:f>
        <x:v>10786</x:v>
      </x:c>
      <x:c r="K216" s="76" t="n">
        <x:f>IFERROR(INDEX('Inventory'!$F$2:$F$71,MATCH(E216,'Inventory'!$A$2:$A$71,0)),0)</x:f>
        <x:v>335</x:v>
      </x:c>
      <x:c r="L216" s="76" t="n">
        <x:f>SUMIFS('Open_POs'!$D$2:$D$26,'Open_POs'!$B$2:$B$26,E216,'Open_POs'!$E$2:$E$26,"&lt;="&amp;B216)</x:f>
        <x:v>0</x:v>
      </x:c>
      <x:c r="M216" s="76" t="n">
        <x:f>J216+L216</x:f>
        <x:v>10786</x:v>
      </x:c>
      <x:c r="N216" s="76" t="n">
        <x:f>SUMIFS($I$2:I216,$E$2:E216,E216)</x:f>
        <x:v>10011.9</x:v>
      </x:c>
      <x:c r="O216" s="76" t="n">
        <x:f>M216-N216</x:f>
        <x:v>774.1000000000004</x:v>
      </x:c>
      <x:c r="P216" s="71" t="str">
        <x:f>IF(O216&lt;0,"SHORT",IF(O216&lt;K216,"BELOW TARGET","COVERED"))</x:f>
        <x:v>COVERED</x:v>
      </x:c>
      <x:c r="Q216" s="63" t="str">
        <x:f>IF(AND(P216="SHORT",COUNTIFS($E$2:E216,E216,$P$2:P216,"SHORT")=1),B216,"")</x:f>
      </x:c>
    </x:row>
    <x:row r="217" ht="15" customHeight="1">
      <x:c r="A217" s="71" t="str">
        <x:v>SO-26003</x:v>
      </x:c>
      <x:c r="B217" s="75" t="n">
        <x:v>46272</x:v>
      </x:c>
      <x:c r="C217" s="71" t="str">
        <x:v>Normal</x:v>
      </x:c>
      <x:c r="D217" s="71" t="str">
        <x:v>FG-017</x:v>
      </x:c>
      <x:c r="E217" s="71" t="str">
        <x:v>RM-003</x:v>
      </x:c>
      <x:c r="F217" s="71" t="str">
        <x:v>Filler 003</x:v>
      </x:c>
      <x:c r="G217" s="76" t="n">
        <x:v>40</x:v>
      </x:c>
      <x:c r="H217" s="76" t="n">
        <x:v>60.21</x:v>
      </x:c>
      <x:c r="I217" s="76" t="n">
        <x:f>G217*H217</x:f>
        <x:v>2408.4</x:v>
      </x:c>
      <x:c r="J217" s="76" t="n">
        <x:f>IFERROR(INDEX('Inventory'!$E$2:$E$71,MATCH(E217,'Inventory'!$A$2:$A$71,0)),0)</x:f>
        <x:v>15564</x:v>
      </x:c>
      <x:c r="K217" s="76" t="n">
        <x:f>IFERROR(INDEX('Inventory'!$F$2:$F$71,MATCH(E217,'Inventory'!$A$2:$A$71,0)),0)</x:f>
        <x:v>174</x:v>
      </x:c>
      <x:c r="L217" s="76" t="n">
        <x:f>SUMIFS('Open_POs'!$D$2:$D$26,'Open_POs'!$B$2:$B$26,E217,'Open_POs'!$E$2:$E$26,"&lt;="&amp;B217)</x:f>
        <x:v>0</x:v>
      </x:c>
      <x:c r="M217" s="76" t="n">
        <x:f>J217+L217</x:f>
        <x:v>15564</x:v>
      </x:c>
      <x:c r="N217" s="76" t="n">
        <x:f>SUMIFS($I$2:I217,$E$2:E217,E217)</x:f>
        <x:v>4214.7</x:v>
      </x:c>
      <x:c r="O217" s="76" t="n">
        <x:f>M217-N217</x:f>
        <x:v>11349.3</x:v>
      </x:c>
      <x:c r="P217" s="71" t="str">
        <x:f>IF(O217&lt;0,"SHORT",IF(O217&lt;K217,"BELOW TARGET","COVERED"))</x:f>
        <x:v>COVERED</x:v>
      </x:c>
      <x:c r="Q217" s="63" t="str">
        <x:f>IF(AND(P217="SHORT",COUNTIFS($E$2:E217,E217,$P$2:P217,"SHORT")=1),B217,"")</x:f>
      </x:c>
    </x:row>
    <x:row r="218" ht="15" customHeight="1">
      <x:c r="A218" s="71" t="str">
        <x:v>SO-26003</x:v>
      </x:c>
      <x:c r="B218" s="75" t="n">
        <x:v>46272</x:v>
      </x:c>
      <x:c r="C218" s="71" t="str">
        <x:v>Normal</x:v>
      </x:c>
      <x:c r="D218" s="71" t="str">
        <x:v>FG-017</x:v>
      </x:c>
      <x:c r="E218" s="71" t="str">
        <x:v>RM-005</x:v>
      </x:c>
      <x:c r="F218" s="71" t="str">
        <x:v>Packaging 005</x:v>
      </x:c>
      <x:c r="G218" s="76" t="n">
        <x:v>40</x:v>
      </x:c>
      <x:c r="H218" s="76" t="n">
        <x:v>50.91</x:v>
      </x:c>
      <x:c r="I218" s="76" t="n">
        <x:f>G218*H218</x:f>
        <x:v>2036.3999999999999</x:v>
      </x:c>
      <x:c r="J218" s="76" t="n">
        <x:f>IFERROR(INDEX('Inventory'!$E$2:$E$71,MATCH(E218,'Inventory'!$A$2:$A$71,0)),0)</x:f>
        <x:v>8699</x:v>
      </x:c>
      <x:c r="K218" s="76" t="n">
        <x:f>IFERROR(INDEX('Inventory'!$F$2:$F$71,MATCH(E218,'Inventory'!$A$2:$A$71,0)),0)</x:f>
        <x:v>1174</x:v>
      </x:c>
      <x:c r="L218" s="76" t="n">
        <x:f>SUMIFS('Open_POs'!$D$2:$D$26,'Open_POs'!$B$2:$B$26,E218,'Open_POs'!$E$2:$E$26,"&lt;="&amp;B218)</x:f>
        <x:v>0</x:v>
      </x:c>
      <x:c r="M218" s="76" t="n">
        <x:f>J218+L218</x:f>
        <x:v>8699</x:v>
      </x:c>
      <x:c r="N218" s="76" t="n">
        <x:f>SUMIFS($I$2:I218,$E$2:E218,E218)</x:f>
        <x:v>20140.199999999997</x:v>
      </x:c>
      <x:c r="O218" s="76" t="n">
        <x:f>M218-N218</x:f>
        <x:v>-11441.199999999997</x:v>
      </x:c>
      <x:c r="P218" s="71" t="str">
        <x:f>IF(O218&lt;0,"SHORT",IF(O218&lt;K218,"BELOW TARGET","COVERED"))</x:f>
        <x:v>SHORT</x:v>
      </x:c>
      <x:c r="Q218" s="63" t="str">
        <x:f>IF(AND(P218="SHORT",COUNTIFS($E$2:E218,E218,$P$2:P218,"SHORT")=1),B218,"")</x:f>
      </x:c>
    </x:row>
    <x:row r="219" ht="15" customHeight="1">
      <x:c r="A219" s="71" t="str">
        <x:v>SO-26003</x:v>
      </x:c>
      <x:c r="B219" s="75" t="n">
        <x:v>46272</x:v>
      </x:c>
      <x:c r="C219" s="71" t="str">
        <x:v>Normal</x:v>
      </x:c>
      <x:c r="D219" s="71" t="str">
        <x:v>FG-017</x:v>
      </x:c>
      <x:c r="E219" s="71" t="str">
        <x:v>RM-025</x:v>
      </x:c>
      <x:c r="F219" s="71" t="str">
        <x:v>Packaging 025</x:v>
      </x:c>
      <x:c r="G219" s="76" t="n">
        <x:v>40</x:v>
      </x:c>
      <x:c r="H219" s="76" t="n">
        <x:v>41.44</x:v>
      </x:c>
      <x:c r="I219" s="76" t="n">
        <x:f>G219*H219</x:f>
        <x:v>1657.6</x:v>
      </x:c>
      <x:c r="J219" s="76" t="n">
        <x:f>IFERROR(INDEX('Inventory'!$E$2:$E$71,MATCH(E219,'Inventory'!$A$2:$A$71,0)),0)</x:f>
        <x:v>2469</x:v>
      </x:c>
      <x:c r="K219" s="76" t="n">
        <x:f>IFERROR(INDEX('Inventory'!$F$2:$F$71,MATCH(E219,'Inventory'!$A$2:$A$71,0)),0)</x:f>
        <x:v>229</x:v>
      </x:c>
      <x:c r="L219" s="76" t="n">
        <x:f>SUMIFS('Open_POs'!$D$2:$D$26,'Open_POs'!$B$2:$B$26,E219,'Open_POs'!$E$2:$E$26,"&lt;="&amp;B219)</x:f>
        <x:v>0</x:v>
      </x:c>
      <x:c r="M219" s="76" t="n">
        <x:f>J219+L219</x:f>
        <x:v>2469</x:v>
      </x:c>
      <x:c r="N219" s="76" t="n">
        <x:f>SUMIFS($I$2:I219,$E$2:E219,E219)</x:f>
        <x:v>19060.999999999996</x:v>
      </x:c>
      <x:c r="O219" s="76" t="n">
        <x:f>M219-N219</x:f>
        <x:v>-16591.999999999996</x:v>
      </x:c>
      <x:c r="P219" s="71" t="str">
        <x:f>IF(O219&lt;0,"SHORT",IF(O219&lt;K219,"BELOW TARGET","COVERED"))</x:f>
        <x:v>SHORT</x:v>
      </x:c>
      <x:c r="Q219" s="63" t="str">
        <x:f>IF(AND(P219="SHORT",COUNTIFS($E$2:E219,E219,$P$2:P219,"SHORT")=1),B219,"")</x:f>
      </x:c>
    </x:row>
    <x:row r="220" ht="15" customHeight="1">
      <x:c r="A220" s="71" t="str">
        <x:v>SO-26003</x:v>
      </x:c>
      <x:c r="B220" s="75" t="n">
        <x:v>46272</x:v>
      </x:c>
      <x:c r="C220" s="71" t="str">
        <x:v>Normal</x:v>
      </x:c>
      <x:c r="D220" s="71" t="str">
        <x:v>FG-017</x:v>
      </x:c>
      <x:c r="E220" s="71" t="str">
        <x:v>RM-041</x:v>
      </x:c>
      <x:c r="F220" s="71" t="str">
        <x:v>Resin 041</x:v>
      </x:c>
      <x:c r="G220" s="76" t="n">
        <x:v>40</x:v>
      </x:c>
      <x:c r="H220" s="76" t="n">
        <x:v>38.8</x:v>
      </x:c>
      <x:c r="I220" s="76" t="n">
        <x:f>G220*H220</x:f>
        <x:v>1552</x:v>
      </x:c>
      <x:c r="J220" s="76" t="n">
        <x:f>IFERROR(INDEX('Inventory'!$E$2:$E$71,MATCH(E220,'Inventory'!$A$2:$A$71,0)),0)</x:f>
        <x:v>4635</x:v>
      </x:c>
      <x:c r="K220" s="76" t="n">
        <x:f>IFERROR(INDEX('Inventory'!$F$2:$F$71,MATCH(E220,'Inventory'!$A$2:$A$71,0)),0)</x:f>
        <x:v>987</x:v>
      </x:c>
      <x:c r="L220" s="76" t="n">
        <x:f>SUMIFS('Open_POs'!$D$2:$D$26,'Open_POs'!$B$2:$B$26,E220,'Open_POs'!$E$2:$E$26,"&lt;="&amp;B220)</x:f>
        <x:v>0</x:v>
      </x:c>
      <x:c r="M220" s="76" t="n">
        <x:f>J220+L220</x:f>
        <x:v>4635</x:v>
      </x:c>
      <x:c r="N220" s="76" t="n">
        <x:f>SUMIFS($I$2:I220,$E$2:E220,E220)</x:f>
        <x:v>5539.1</x:v>
      </x:c>
      <x:c r="O220" s="76" t="n">
        <x:f>M220-N220</x:f>
        <x:v>-904.1000000000004</x:v>
      </x:c>
      <x:c r="P220" s="71" t="str">
        <x:f>IF(O220&lt;0,"SHORT",IF(O220&lt;K220,"BELOW TARGET","COVERED"))</x:f>
        <x:v>SHORT</x:v>
      </x:c>
      <x:c r="Q220" s="63" t="n">
        <x:f>IF(AND(P220="SHORT",COUNTIFS($E$2:E220,E220,$P$2:P220,"SHORT")=1),B220,"")</x:f>
        <x:v>46272</x:v>
      </x:c>
    </x:row>
    <x:row r="221" ht="15" customHeight="1">
      <x:c r="A221" s="71" t="str">
        <x:v>SO-26003</x:v>
      </x:c>
      <x:c r="B221" s="75" t="n">
        <x:v>46272</x:v>
      </x:c>
      <x:c r="C221" s="71" t="str">
        <x:v>Normal</x:v>
      </x:c>
      <x:c r="D221" s="71" t="str">
        <x:v>FG-017</x:v>
      </x:c>
      <x:c r="E221" s="71" t="str">
        <x:v>RM-056</x:v>
      </x:c>
      <x:c r="F221" s="71" t="str">
        <x:v>Resin 056</x:v>
      </x:c>
      <x:c r="G221" s="76" t="n">
        <x:v>40</x:v>
      </x:c>
      <x:c r="H221" s="76" t="n">
        <x:v>73.02</x:v>
      </x:c>
      <x:c r="I221" s="76" t="n">
        <x:f>G221*H221</x:f>
        <x:v>2920.7999999999997</x:v>
      </x:c>
      <x:c r="J221" s="76" t="n">
        <x:f>IFERROR(INDEX('Inventory'!$E$2:$E$71,MATCH(E221,'Inventory'!$A$2:$A$71,0)),0)</x:f>
        <x:v>862</x:v>
      </x:c>
      <x:c r="K221" s="76" t="n">
        <x:f>IFERROR(INDEX('Inventory'!$F$2:$F$71,MATCH(E221,'Inventory'!$A$2:$A$71,0)),0)</x:f>
        <x:v>108</x:v>
      </x:c>
      <x:c r="L221" s="76" t="n">
        <x:f>SUMIFS('Open_POs'!$D$2:$D$26,'Open_POs'!$B$2:$B$26,E221,'Open_POs'!$E$2:$E$26,"&lt;="&amp;B221)</x:f>
        <x:v>0</x:v>
      </x:c>
      <x:c r="M221" s="76" t="n">
        <x:f>J221+L221</x:f>
        <x:v>862</x:v>
      </x:c>
      <x:c r="N221" s="76" t="n">
        <x:f>SUMIFS($I$2:I221,$E$2:E221,E221)</x:f>
        <x:v>5111.4</x:v>
      </x:c>
      <x:c r="O221" s="76" t="n">
        <x:f>M221-N221</x:f>
        <x:v>-4249.4</x:v>
      </x:c>
      <x:c r="P221" s="71" t="str">
        <x:f>IF(O221&lt;0,"SHORT",IF(O221&lt;K221,"BELOW TARGET","COVERED"))</x:f>
        <x:v>SHORT</x:v>
      </x:c>
      <x:c r="Q221" s="63" t="str">
        <x:f>IF(AND(P221="SHORT",COUNTIFS($E$2:E221,E221,$P$2:P221,"SHORT")=1),B221,"")</x:f>
      </x:c>
    </x:row>
    <x:row r="222" ht="15" customHeight="1">
      <x:c r="A222" s="71" t="str">
        <x:v>SO-26003</x:v>
      </x:c>
      <x:c r="B222" s="75" t="n">
        <x:v>46272</x:v>
      </x:c>
      <x:c r="C222" s="71" t="str">
        <x:v>Normal</x:v>
      </x:c>
      <x:c r="D222" s="71" t="str">
        <x:v>FG-017</x:v>
      </x:c>
      <x:c r="E222" s="71" t="str">
        <x:v>RM-059</x:v>
      </x:c>
      <x:c r="F222" s="71" t="str">
        <x:v>Additive 059</x:v>
      </x:c>
      <x:c r="G222" s="76" t="n">
        <x:v>40</x:v>
      </x:c>
      <x:c r="H222" s="76" t="n">
        <x:v>60.54</x:v>
      </x:c>
      <x:c r="I222" s="76" t="n">
        <x:f>G222*H222</x:f>
        <x:v>2421.6</x:v>
      </x:c>
      <x:c r="J222" s="76" t="n">
        <x:f>IFERROR(INDEX('Inventory'!$E$2:$E$71,MATCH(E222,'Inventory'!$A$2:$A$71,0)),0)</x:f>
        <x:v>10488</x:v>
      </x:c>
      <x:c r="K222" s="76" t="n">
        <x:f>IFERROR(INDEX('Inventory'!$F$2:$F$71,MATCH(E222,'Inventory'!$A$2:$A$71,0)),0)</x:f>
        <x:v>1442</x:v>
      </x:c>
      <x:c r="L222" s="76" t="n">
        <x:f>SUMIFS('Open_POs'!$D$2:$D$26,'Open_POs'!$B$2:$B$26,E222,'Open_POs'!$E$2:$E$26,"&lt;="&amp;B222)</x:f>
        <x:v>0</x:v>
      </x:c>
      <x:c r="M222" s="76" t="n">
        <x:f>J222+L222</x:f>
        <x:v>10488</x:v>
      </x:c>
      <x:c r="N222" s="76" t="n">
        <x:f>SUMIFS($I$2:I222,$E$2:E222,E222)</x:f>
        <x:v>24867.600000000002</x:v>
      </x:c>
      <x:c r="O222" s="76" t="n">
        <x:f>M222-N222</x:f>
        <x:v>-14379.600000000002</x:v>
      </x:c>
      <x:c r="P222" s="71" t="str">
        <x:f>IF(O222&lt;0,"SHORT",IF(O222&lt;K222,"BELOW TARGET","COVERED"))</x:f>
        <x:v>SHORT</x:v>
      </x:c>
      <x:c r="Q222" s="63" t="str">
        <x:f>IF(AND(P222="SHORT",COUNTIFS($E$2:E222,E222,$P$2:P222,"SHORT")=1),B222,"")</x:f>
      </x:c>
    </x:row>
    <x:row r="223" ht="15" customHeight="1">
      <x:c r="A223" s="71" t="str">
        <x:v>SO-26005</x:v>
      </x:c>
      <x:c r="B223" s="75" t="n">
        <x:v>46274</x:v>
      </x:c>
      <x:c r="C223" s="71" t="str">
        <x:v>Normal</x:v>
      </x:c>
      <x:c r="D223" s="71" t="str">
        <x:v>FG-014</x:v>
      </x:c>
      <x:c r="E223" s="71" t="str">
        <x:v>RM-005</x:v>
      </x:c>
      <x:c r="F223" s="71" t="str">
        <x:v>Packaging 005</x:v>
      </x:c>
      <x:c r="G223" s="76" t="n">
        <x:v>40</x:v>
      </x:c>
      <x:c r="H223" s="76" t="n">
        <x:v>58.21</x:v>
      </x:c>
      <x:c r="I223" s="76" t="n">
        <x:f>G223*H223</x:f>
        <x:v>2328.4</x:v>
      </x:c>
      <x:c r="J223" s="76" t="n">
        <x:f>IFERROR(INDEX('Inventory'!$E$2:$E$71,MATCH(E223,'Inventory'!$A$2:$A$71,0)),0)</x:f>
        <x:v>8699</x:v>
      </x:c>
      <x:c r="K223" s="76" t="n">
        <x:f>IFERROR(INDEX('Inventory'!$F$2:$F$71,MATCH(E223,'Inventory'!$A$2:$A$71,0)),0)</x:f>
        <x:v>1174</x:v>
      </x:c>
      <x:c r="L223" s="76" t="n">
        <x:f>SUMIFS('Open_POs'!$D$2:$D$26,'Open_POs'!$B$2:$B$26,E223,'Open_POs'!$E$2:$E$26,"&lt;="&amp;B223)</x:f>
        <x:v>0</x:v>
      </x:c>
      <x:c r="M223" s="76" t="n">
        <x:f>J223+L223</x:f>
        <x:v>8699</x:v>
      </x:c>
      <x:c r="N223" s="76" t="n">
        <x:f>SUMIFS($I$2:I223,$E$2:E223,E223)</x:f>
        <x:v>22468.6</x:v>
      </x:c>
      <x:c r="O223" s="76" t="n">
        <x:f>M223-N223</x:f>
        <x:v>-13769.599999999999</x:v>
      </x:c>
      <x:c r="P223" s="71" t="str">
        <x:f>IF(O223&lt;0,"SHORT",IF(O223&lt;K223,"BELOW TARGET","COVERED"))</x:f>
        <x:v>SHORT</x:v>
      </x:c>
      <x:c r="Q223" s="63" t="str">
        <x:f>IF(AND(P223="SHORT",COUNTIFS($E$2:E223,E223,$P$2:P223,"SHORT")=1),B223,"")</x:f>
      </x:c>
    </x:row>
    <x:row r="224" ht="15" customHeight="1">
      <x:c r="A224" s="71" t="str">
        <x:v>SO-26005</x:v>
      </x:c>
      <x:c r="B224" s="75" t="n">
        <x:v>46274</x:v>
      </x:c>
      <x:c r="C224" s="71" t="str">
        <x:v>Normal</x:v>
      </x:c>
      <x:c r="D224" s="71" t="str">
        <x:v>FG-014</x:v>
      </x:c>
      <x:c r="E224" s="71" t="str">
        <x:v>RM-018</x:v>
      </x:c>
      <x:c r="F224" s="71" t="str">
        <x:v>Filler 018</x:v>
      </x:c>
      <x:c r="G224" s="76" t="n">
        <x:v>40</x:v>
      </x:c>
      <x:c r="H224" s="76" t="n">
        <x:v>24.18</x:v>
      </x:c>
      <x:c r="I224" s="76" t="n">
        <x:f>G224*H224</x:f>
        <x:v>967.2</x:v>
      </x:c>
      <x:c r="J224" s="76" t="n">
        <x:f>IFERROR(INDEX('Inventory'!$E$2:$E$71,MATCH(E224,'Inventory'!$A$2:$A$71,0)),0)</x:f>
        <x:v>17607</x:v>
      </x:c>
      <x:c r="K224" s="76" t="n">
        <x:f>IFERROR(INDEX('Inventory'!$F$2:$F$71,MATCH(E224,'Inventory'!$A$2:$A$71,0)),0)</x:f>
        <x:v>302</x:v>
      </x:c>
      <x:c r="L224" s="76" t="n">
        <x:f>SUMIFS('Open_POs'!$D$2:$D$26,'Open_POs'!$B$2:$B$26,E224,'Open_POs'!$E$2:$E$26,"&lt;="&amp;B224)</x:f>
        <x:v>10000</x:v>
      </x:c>
      <x:c r="M224" s="76" t="n">
        <x:f>J224+L224</x:f>
        <x:v>27607</x:v>
      </x:c>
      <x:c r="N224" s="76" t="n">
        <x:f>SUMIFS($I$2:I224,$E$2:E224,E224)</x:f>
        <x:v>10328.7</x:v>
      </x:c>
      <x:c r="O224" s="76" t="n">
        <x:f>M224-N224</x:f>
        <x:v>17278.3</x:v>
      </x:c>
      <x:c r="P224" s="71" t="str">
        <x:f>IF(O224&lt;0,"SHORT",IF(O224&lt;K224,"BELOW TARGET","COVERED"))</x:f>
        <x:v>COVERED</x:v>
      </x:c>
      <x:c r="Q224" s="63" t="str">
        <x:f>IF(AND(P224="SHORT",COUNTIFS($E$2:E224,E224,$P$2:P224,"SHORT")=1),B224,"")</x:f>
      </x:c>
    </x:row>
    <x:row r="225" ht="15" customHeight="1">
      <x:c r="A225" s="71" t="str">
        <x:v>SO-26005</x:v>
      </x:c>
      <x:c r="B225" s="75" t="n">
        <x:v>46274</x:v>
      </x:c>
      <x:c r="C225" s="71" t="str">
        <x:v>Normal</x:v>
      </x:c>
      <x:c r="D225" s="71" t="str">
        <x:v>FG-014</x:v>
      </x:c>
      <x:c r="E225" s="71" t="str">
        <x:v>RM-031</x:v>
      </x:c>
      <x:c r="F225" s="71" t="str">
        <x:v>Resin 031</x:v>
      </x:c>
      <x:c r="G225" s="76" t="n">
        <x:v>40</x:v>
      </x:c>
      <x:c r="H225" s="76" t="n">
        <x:v>71.8</x:v>
      </x:c>
      <x:c r="I225" s="76" t="n">
        <x:f>G225*H225</x:f>
        <x:v>2872</x:v>
      </x:c>
      <x:c r="J225" s="76" t="n">
        <x:f>IFERROR(INDEX('Inventory'!$E$2:$E$71,MATCH(E225,'Inventory'!$A$2:$A$71,0)),0)</x:f>
        <x:v>6087</x:v>
      </x:c>
      <x:c r="K225" s="76" t="n">
        <x:f>IFERROR(INDEX('Inventory'!$F$2:$F$71,MATCH(E225,'Inventory'!$A$2:$A$71,0)),0)</x:f>
        <x:v>714</x:v>
      </x:c>
      <x:c r="L225" s="76" t="n">
        <x:f>SUMIFS('Open_POs'!$D$2:$D$26,'Open_POs'!$B$2:$B$26,E225,'Open_POs'!$E$2:$E$26,"&lt;="&amp;B225)</x:f>
        <x:v>0</x:v>
      </x:c>
      <x:c r="M225" s="76" t="n">
        <x:f>J225+L225</x:f>
        <x:v>6087</x:v>
      </x:c>
      <x:c r="N225" s="76" t="n">
        <x:f>SUMIFS($I$2:I225,$E$2:E225,E225)</x:f>
        <x:v>11266.9</x:v>
      </x:c>
      <x:c r="O225" s="76" t="n">
        <x:f>M225-N225</x:f>
        <x:v>-5179.9</x:v>
      </x:c>
      <x:c r="P225" s="71" t="str">
        <x:f>IF(O225&lt;0,"SHORT",IF(O225&lt;K225,"BELOW TARGET","COVERED"))</x:f>
        <x:v>SHORT</x:v>
      </x:c>
      <x:c r="Q225" s="63" t="str">
        <x:f>IF(AND(P225="SHORT",COUNTIFS($E$2:E225,E225,$P$2:P225,"SHORT")=1),B225,"")</x:f>
      </x:c>
    </x:row>
    <x:row r="226" ht="15" customHeight="1">
      <x:c r="A226" s="71" t="str">
        <x:v>SO-26005</x:v>
      </x:c>
      <x:c r="B226" s="75" t="n">
        <x:v>46274</x:v>
      </x:c>
      <x:c r="C226" s="71" t="str">
        <x:v>Normal</x:v>
      </x:c>
      <x:c r="D226" s="71" t="str">
        <x:v>FG-014</x:v>
      </x:c>
      <x:c r="E226" s="71" t="str">
        <x:v>RM-053</x:v>
      </x:c>
      <x:c r="F226" s="71" t="str">
        <x:v>Filler 053</x:v>
      </x:c>
      <x:c r="G226" s="76" t="n">
        <x:v>40</x:v>
      </x:c>
      <x:c r="H226" s="76" t="n">
        <x:v>98.29</x:v>
      </x:c>
      <x:c r="I226" s="76" t="n">
        <x:f>G226*H226</x:f>
        <x:v>3931.6000000000004</x:v>
      </x:c>
      <x:c r="J226" s="76" t="n">
        <x:f>IFERROR(INDEX('Inventory'!$E$2:$E$71,MATCH(E226,'Inventory'!$A$2:$A$71,0)),0)</x:f>
        <x:v>3714</x:v>
      </x:c>
      <x:c r="K226" s="76" t="n">
        <x:f>IFERROR(INDEX('Inventory'!$F$2:$F$71,MATCH(E226,'Inventory'!$A$2:$A$71,0)),0)</x:f>
        <x:v>773</x:v>
      </x:c>
      <x:c r="L226" s="76" t="n">
        <x:f>SUMIFS('Open_POs'!$D$2:$D$26,'Open_POs'!$B$2:$B$26,E226,'Open_POs'!$E$2:$E$26,"&lt;="&amp;B226)</x:f>
        <x:v>0</x:v>
      </x:c>
      <x:c r="M226" s="76" t="n">
        <x:f>J226+L226</x:f>
        <x:v>3714</x:v>
      </x:c>
      <x:c r="N226" s="76" t="n">
        <x:f>SUMIFS($I$2:I226,$E$2:E226,E226)</x:f>
        <x:v>21824.4</x:v>
      </x:c>
      <x:c r="O226" s="76" t="n">
        <x:f>M226-N226</x:f>
        <x:v>-18110.4</x:v>
      </x:c>
      <x:c r="P226" s="71" t="str">
        <x:f>IF(O226&lt;0,"SHORT",IF(O226&lt;K226,"BELOW TARGET","COVERED"))</x:f>
        <x:v>SHORT</x:v>
      </x:c>
      <x:c r="Q226" s="63" t="str">
        <x:f>IF(AND(P226="SHORT",COUNTIFS($E$2:E226,E226,$P$2:P226,"SHORT")=1),B226,"")</x:f>
      </x:c>
    </x:row>
    <x:row r="227" ht="15" customHeight="1">
      <x:c r="A227" s="71" t="str">
        <x:v>SO-26005</x:v>
      </x:c>
      <x:c r="B227" s="75" t="n">
        <x:v>46274</x:v>
      </x:c>
      <x:c r="C227" s="71" t="str">
        <x:v>Normal</x:v>
      </x:c>
      <x:c r="D227" s="71" t="str">
        <x:v>FG-014</x:v>
      </x:c>
      <x:c r="E227" s="71" t="str">
        <x:v>RM-058</x:v>
      </x:c>
      <x:c r="F227" s="71" t="str">
        <x:v>Filler 058</x:v>
      </x:c>
      <x:c r="G227" s="76" t="n">
        <x:v>40</x:v>
      </x:c>
      <x:c r="H227" s="76" t="n">
        <x:v>60.28</x:v>
      </x:c>
      <x:c r="I227" s="76" t="n">
        <x:f>G227*H227</x:f>
        <x:v>2411.2</x:v>
      </x:c>
      <x:c r="J227" s="76" t="n">
        <x:f>IFERROR(INDEX('Inventory'!$E$2:$E$71,MATCH(E227,'Inventory'!$A$2:$A$71,0)),0)</x:f>
        <x:v>9929</x:v>
      </x:c>
      <x:c r="K227" s="76" t="n">
        <x:f>IFERROR(INDEX('Inventory'!$F$2:$F$71,MATCH(E227,'Inventory'!$A$2:$A$71,0)),0)</x:f>
        <x:v>701</x:v>
      </x:c>
      <x:c r="L227" s="76" t="n">
        <x:f>SUMIFS('Open_POs'!$D$2:$D$26,'Open_POs'!$B$2:$B$26,E227,'Open_POs'!$E$2:$E$26,"&lt;="&amp;B227)</x:f>
        <x:v>0</x:v>
      </x:c>
      <x:c r="M227" s="76" t="n">
        <x:f>J227+L227</x:f>
        <x:v>9929</x:v>
      </x:c>
      <x:c r="N227" s="76" t="n">
        <x:f>SUMIFS($I$2:I227,$E$2:E227,E227)</x:f>
        <x:v>31223.100000000002</x:v>
      </x:c>
      <x:c r="O227" s="76" t="n">
        <x:f>M227-N227</x:f>
        <x:v>-21294.100000000002</x:v>
      </x:c>
      <x:c r="P227" s="71" t="str">
        <x:f>IF(O227&lt;0,"SHORT",IF(O227&lt;K227,"BELOW TARGET","COVERED"))</x:f>
        <x:v>SHORT</x:v>
      </x:c>
      <x:c r="Q227" s="63" t="str">
        <x:f>IF(AND(P227="SHORT",COUNTIFS($E$2:E227,E227,$P$2:P227,"SHORT")=1),B227,"")</x:f>
      </x:c>
    </x:row>
    <x:row r="228" ht="15" customHeight="1">
      <x:c r="A228" s="71" t="str">
        <x:v>SO-26005</x:v>
      </x:c>
      <x:c r="B228" s="75" t="n">
        <x:v>46274</x:v>
      </x:c>
      <x:c r="C228" s="71" t="str">
        <x:v>Normal</x:v>
      </x:c>
      <x:c r="D228" s="71" t="str">
        <x:v>FG-014</x:v>
      </x:c>
      <x:c r="E228" s="71" t="str">
        <x:v>RM-063</x:v>
      </x:c>
      <x:c r="F228" s="71" t="str">
        <x:v>Filler 063</x:v>
      </x:c>
      <x:c r="G228" s="76" t="n">
        <x:v>40</x:v>
      </x:c>
      <x:c r="H228" s="76" t="n">
        <x:v>113.92</x:v>
      </x:c>
      <x:c r="I228" s="76" t="n">
        <x:f>G228*H228</x:f>
        <x:v>4556.8</x:v>
      </x:c>
      <x:c r="J228" s="76" t="n">
        <x:f>IFERROR(INDEX('Inventory'!$E$2:$E$71,MATCH(E228,'Inventory'!$A$2:$A$71,0)),0)</x:f>
        <x:v>7508</x:v>
      </x:c>
      <x:c r="K228" s="76" t="n">
        <x:f>IFERROR(INDEX('Inventory'!$F$2:$F$71,MATCH(E228,'Inventory'!$A$2:$A$71,0)),0)</x:f>
        <x:v>1090</x:v>
      </x:c>
      <x:c r="L228" s="76" t="n">
        <x:f>SUMIFS('Open_POs'!$D$2:$D$26,'Open_POs'!$B$2:$B$26,E228,'Open_POs'!$E$2:$E$26,"&lt;="&amp;B228)</x:f>
        <x:v>5000</x:v>
      </x:c>
      <x:c r="M228" s="76" t="n">
        <x:f>J228+L228</x:f>
        <x:v>12508</x:v>
      </x:c>
      <x:c r="N228" s="76" t="n">
        <x:f>SUMIFS($I$2:I228,$E$2:E228,E228)</x:f>
        <x:v>44366.5</x:v>
      </x:c>
      <x:c r="O228" s="76" t="n">
        <x:f>M228-N228</x:f>
        <x:v>-31858.5</x:v>
      </x:c>
      <x:c r="P228" s="71" t="str">
        <x:f>IF(O228&lt;0,"SHORT",IF(O228&lt;K228,"BELOW TARGET","COVERED"))</x:f>
        <x:v>SHORT</x:v>
      </x:c>
      <x:c r="Q228" s="63" t="str">
        <x:f>IF(AND(P228="SHORT",COUNTIFS($E$2:E228,E228,$P$2:P228,"SHORT")=1),B228,"")</x:f>
      </x:c>
    </x:row>
    <x:row r="229" ht="15" customHeight="1">
      <x:c r="A229" s="71" t="str">
        <x:v>SO-26005</x:v>
      </x:c>
      <x:c r="B229" s="75" t="n">
        <x:v>46274</x:v>
      </x:c>
      <x:c r="C229" s="71" t="str">
        <x:v>Normal</x:v>
      </x:c>
      <x:c r="D229" s="71" t="str">
        <x:v>FG-014</x:v>
      </x:c>
      <x:c r="E229" s="71" t="str">
        <x:v>RM-069</x:v>
      </x:c>
      <x:c r="F229" s="71" t="str">
        <x:v>Additive 069</x:v>
      </x:c>
      <x:c r="G229" s="76" t="n">
        <x:v>40</x:v>
      </x:c>
      <x:c r="H229" s="76" t="n">
        <x:v>37.77</x:v>
      </x:c>
      <x:c r="I229" s="76" t="n">
        <x:f>G229*H229</x:f>
        <x:v>1510.8000000000002</x:v>
      </x:c>
      <x:c r="J229" s="76" t="n">
        <x:f>IFERROR(INDEX('Inventory'!$E$2:$E$71,MATCH(E229,'Inventory'!$A$2:$A$71,0)),0)</x:f>
        <x:v>2870</x:v>
      </x:c>
      <x:c r="K229" s="76" t="n">
        <x:f>IFERROR(INDEX('Inventory'!$F$2:$F$71,MATCH(E229,'Inventory'!$A$2:$A$71,0)),0)</x:f>
        <x:v>986</x:v>
      </x:c>
      <x:c r="L229" s="76" t="n">
        <x:f>SUMIFS('Open_POs'!$D$2:$D$26,'Open_POs'!$B$2:$B$26,E229,'Open_POs'!$E$2:$E$26,"&lt;="&amp;B229)</x:f>
        <x:v>0</x:v>
      </x:c>
      <x:c r="M229" s="76" t="n">
        <x:f>J229+L229</x:f>
        <x:v>2870</x:v>
      </x:c>
      <x:c r="N229" s="76" t="n">
        <x:f>SUMIFS($I$2:I229,$E$2:E229,E229)</x:f>
        <x:v>3777.0000000000005</x:v>
      </x:c>
      <x:c r="O229" s="76" t="n">
        <x:f>M229-N229</x:f>
        <x:v>-907.0000000000005</x:v>
      </x:c>
      <x:c r="P229" s="71" t="str">
        <x:f>IF(O229&lt;0,"SHORT",IF(O229&lt;K229,"BELOW TARGET","COVERED"))</x:f>
        <x:v>SHORT</x:v>
      </x:c>
      <x:c r="Q229" s="63" t="n">
        <x:f>IF(AND(P229="SHORT",COUNTIFS($E$2:E229,E229,$P$2:P229,"SHORT")=1),B229,"")</x:f>
        <x:v>46274</x:v>
      </x:c>
    </x:row>
    <x:row r="230" ht="15" customHeight="1">
      <x:c r="A230" s="71" t="str">
        <x:v>SO-26005</x:v>
      </x:c>
      <x:c r="B230" s="75" t="n">
        <x:v>46274</x:v>
      </x:c>
      <x:c r="C230" s="71" t="str">
        <x:v>Normal</x:v>
      </x:c>
      <x:c r="D230" s="71" t="str">
        <x:v>FG-014</x:v>
      </x:c>
      <x:c r="E230" s="71" t="str">
        <x:v>RM-070</x:v>
      </x:c>
      <x:c r="F230" s="71" t="str">
        <x:v>Packaging 070</x:v>
      </x:c>
      <x:c r="G230" s="76" t="n">
        <x:v>40</x:v>
      </x:c>
      <x:c r="H230" s="76" t="n">
        <x:v>96.1</x:v>
      </x:c>
      <x:c r="I230" s="76" t="n">
        <x:f>G230*H230</x:f>
        <x:v>3844</x:v>
      </x:c>
      <x:c r="J230" s="76" t="n">
        <x:f>IFERROR(INDEX('Inventory'!$E$2:$E$71,MATCH(E230,'Inventory'!$A$2:$A$71,0)),0)</x:f>
        <x:v>5189</x:v>
      </x:c>
      <x:c r="K230" s="76" t="n">
        <x:f>IFERROR(INDEX('Inventory'!$F$2:$F$71,MATCH(E230,'Inventory'!$A$2:$A$71,0)),0)</x:f>
        <x:v>587</x:v>
      </x:c>
      <x:c r="L230" s="76" t="n">
        <x:f>SUMIFS('Open_POs'!$D$2:$D$26,'Open_POs'!$B$2:$B$26,E230,'Open_POs'!$E$2:$E$26,"&lt;="&amp;B230)</x:f>
        <x:v>0</x:v>
      </x:c>
      <x:c r="M230" s="76" t="n">
        <x:f>J230+L230</x:f>
        <x:v>5189</x:v>
      </x:c>
      <x:c r="N230" s="76" t="n">
        <x:f>SUMIFS($I$2:I230,$E$2:E230,E230)</x:f>
        <x:v>9610</x:v>
      </x:c>
      <x:c r="O230" s="76" t="n">
        <x:f>M230-N230</x:f>
        <x:v>-4421</x:v>
      </x:c>
      <x:c r="P230" s="71" t="str">
        <x:f>IF(O230&lt;0,"SHORT",IF(O230&lt;K230,"BELOW TARGET","COVERED"))</x:f>
        <x:v>SHORT</x:v>
      </x:c>
      <x:c r="Q230" s="63" t="str">
        <x:f>IF(AND(P230="SHORT",COUNTIFS($E$2:E230,E230,$P$2:P230,"SHORT")=1),B230,"")</x:f>
      </x:c>
    </x:row>
    <x:row r="231" ht="15" customHeight="1">
      <x:c r="A231" s="71" t="str">
        <x:v>SO-26047</x:v>
      </x:c>
      <x:c r="B231" s="75" t="n">
        <x:v>46274</x:v>
      </x:c>
      <x:c r="C231" s="71" t="str">
        <x:v>Normal</x:v>
      </x:c>
      <x:c r="D231" s="71" t="str">
        <x:v>FG-015</x:v>
      </x:c>
      <x:c r="E231" s="71" t="str">
        <x:v>RM-024</x:v>
      </x:c>
      <x:c r="F231" s="71" t="str">
        <x:v>Additive 024</x:v>
      </x:c>
      <x:c r="G231" s="76" t="n">
        <x:v>60</x:v>
      </x:c>
      <x:c r="H231" s="76" t="n">
        <x:v>92.47</x:v>
      </x:c>
      <x:c r="I231" s="76" t="n">
        <x:f>G231*H231</x:f>
        <x:v>5548.2</x:v>
      </x:c>
      <x:c r="J231" s="76" t="n">
        <x:f>IFERROR(INDEX('Inventory'!$E$2:$E$71,MATCH(E231,'Inventory'!$A$2:$A$71,0)),0)</x:f>
        <x:v>542</x:v>
      </x:c>
      <x:c r="K231" s="76" t="n">
        <x:f>IFERROR(INDEX('Inventory'!$F$2:$F$71,MATCH(E231,'Inventory'!$A$2:$A$71,0)),0)</x:f>
        <x:v>1356</x:v>
      </x:c>
      <x:c r="L231" s="76" t="n">
        <x:f>SUMIFS('Open_POs'!$D$2:$D$26,'Open_POs'!$B$2:$B$26,E231,'Open_POs'!$E$2:$E$26,"&lt;="&amp;B231)</x:f>
        <x:v>0</x:v>
      </x:c>
      <x:c r="M231" s="76" t="n">
        <x:f>J231+L231</x:f>
        <x:v>542</x:v>
      </x:c>
      <x:c r="N231" s="76" t="n">
        <x:f>SUMIFS($I$2:I231,$E$2:E231,E231)</x:f>
        <x:v>24792.800000000003</x:v>
      </x:c>
      <x:c r="O231" s="76" t="n">
        <x:f>M231-N231</x:f>
        <x:v>-24250.800000000003</x:v>
      </x:c>
      <x:c r="P231" s="71" t="str">
        <x:f>IF(O231&lt;0,"SHORT",IF(O231&lt;K231,"BELOW TARGET","COVERED"))</x:f>
        <x:v>SHORT</x:v>
      </x:c>
      <x:c r="Q231" s="63" t="str">
        <x:f>IF(AND(P231="SHORT",COUNTIFS($E$2:E231,E231,$P$2:P231,"SHORT")=1),B231,"")</x:f>
      </x:c>
    </x:row>
    <x:row r="232" ht="15" customHeight="1">
      <x:c r="A232" s="71" t="str">
        <x:v>SO-26047</x:v>
      </x:c>
      <x:c r="B232" s="75" t="n">
        <x:v>46274</x:v>
      </x:c>
      <x:c r="C232" s="71" t="str">
        <x:v>Normal</x:v>
      </x:c>
      <x:c r="D232" s="71" t="str">
        <x:v>FG-015</x:v>
      </x:c>
      <x:c r="E232" s="71" t="str">
        <x:v>RM-033</x:v>
      </x:c>
      <x:c r="F232" s="71" t="str">
        <x:v>Filler 033</x:v>
      </x:c>
      <x:c r="G232" s="76" t="n">
        <x:v>60</x:v>
      </x:c>
      <x:c r="H232" s="76" t="n">
        <x:v>45.14</x:v>
      </x:c>
      <x:c r="I232" s="76" t="n">
        <x:f>G232*H232</x:f>
        <x:v>2708.4</x:v>
      </x:c>
      <x:c r="J232" s="76" t="n">
        <x:f>IFERROR(INDEX('Inventory'!$E$2:$E$71,MATCH(E232,'Inventory'!$A$2:$A$71,0)),0)</x:f>
        <x:v>4157</x:v>
      </x:c>
      <x:c r="K232" s="76" t="n">
        <x:f>IFERROR(INDEX('Inventory'!$F$2:$F$71,MATCH(E232,'Inventory'!$A$2:$A$71,0)),0)</x:f>
        <x:v>1030</x:v>
      </x:c>
      <x:c r="L232" s="76" t="n">
        <x:f>SUMIFS('Open_POs'!$D$2:$D$26,'Open_POs'!$B$2:$B$26,E232,'Open_POs'!$E$2:$E$26,"&lt;="&amp;B232)</x:f>
        <x:v>0</x:v>
      </x:c>
      <x:c r="M232" s="76" t="n">
        <x:f>J232+L232</x:f>
        <x:v>4157</x:v>
      </x:c>
      <x:c r="N232" s="76" t="n">
        <x:f>SUMIFS($I$2:I232,$E$2:E232,E232)</x:f>
        <x:v>9287.4</x:v>
      </x:c>
      <x:c r="O232" s="76" t="n">
        <x:f>M232-N232</x:f>
        <x:v>-5130.4</x:v>
      </x:c>
      <x:c r="P232" s="71" t="str">
        <x:f>IF(O232&lt;0,"SHORT",IF(O232&lt;K232,"BELOW TARGET","COVERED"))</x:f>
        <x:v>SHORT</x:v>
      </x:c>
      <x:c r="Q232" s="63" t="str">
        <x:f>IF(AND(P232="SHORT",COUNTIFS($E$2:E232,E232,$P$2:P232,"SHORT")=1),B232,"")</x:f>
      </x:c>
    </x:row>
    <x:row r="233" ht="15" customHeight="1">
      <x:c r="A233" s="71" t="str">
        <x:v>SO-26047</x:v>
      </x:c>
      <x:c r="B233" s="75" t="n">
        <x:v>46274</x:v>
      </x:c>
      <x:c r="C233" s="71" t="str">
        <x:v>Normal</x:v>
      </x:c>
      <x:c r="D233" s="71" t="str">
        <x:v>FG-015</x:v>
      </x:c>
      <x:c r="E233" s="71" t="str">
        <x:v>RM-039</x:v>
      </x:c>
      <x:c r="F233" s="71" t="str">
        <x:v>Additive 039</x:v>
      </x:c>
      <x:c r="G233" s="76" t="n">
        <x:v>60</x:v>
      </x:c>
      <x:c r="H233" s="76" t="n">
        <x:v>47.84</x:v>
      </x:c>
      <x:c r="I233" s="76" t="n">
        <x:f>G233*H233</x:f>
        <x:v>2870.4</x:v>
      </x:c>
      <x:c r="J233" s="76" t="n">
        <x:f>IFERROR(INDEX('Inventory'!$E$2:$E$71,MATCH(E233,'Inventory'!$A$2:$A$71,0)),0)</x:f>
        <x:v>15593</x:v>
      </x:c>
      <x:c r="K233" s="76" t="n">
        <x:f>IFERROR(INDEX('Inventory'!$F$2:$F$71,MATCH(E233,'Inventory'!$A$2:$A$71,0)),0)</x:f>
        <x:v>1243</x:v>
      </x:c>
      <x:c r="L233" s="76" t="n">
        <x:f>SUMIFS('Open_POs'!$D$2:$D$26,'Open_POs'!$B$2:$B$26,E233,'Open_POs'!$E$2:$E$26,"&lt;="&amp;B233)</x:f>
        <x:v>0</x:v>
      </x:c>
      <x:c r="M233" s="76" t="n">
        <x:f>J233+L233</x:f>
        <x:v>15593</x:v>
      </x:c>
      <x:c r="N233" s="76" t="n">
        <x:f>SUMIFS($I$2:I233,$E$2:E233,E233)</x:f>
        <x:v>35465.399999999994</x:v>
      </x:c>
      <x:c r="O233" s="76" t="n">
        <x:f>M233-N233</x:f>
        <x:v>-19872.399999999994</x:v>
      </x:c>
      <x:c r="P233" s="71" t="str">
        <x:f>IF(O233&lt;0,"SHORT",IF(O233&lt;K233,"BELOW TARGET","COVERED"))</x:f>
        <x:v>SHORT</x:v>
      </x:c>
      <x:c r="Q233" s="63" t="str">
        <x:f>IF(AND(P233="SHORT",COUNTIFS($E$2:E233,E233,$P$2:P233,"SHORT")=1),B233,"")</x:f>
      </x:c>
    </x:row>
    <x:row r="234" ht="15" customHeight="1">
      <x:c r="A234" s="71" t="str">
        <x:v>SO-26047</x:v>
      </x:c>
      <x:c r="B234" s="75" t="n">
        <x:v>46274</x:v>
      </x:c>
      <x:c r="C234" s="71" t="str">
        <x:v>Normal</x:v>
      </x:c>
      <x:c r="D234" s="71" t="str">
        <x:v>FG-015</x:v>
      </x:c>
      <x:c r="E234" s="71" t="str">
        <x:v>RM-058</x:v>
      </x:c>
      <x:c r="F234" s="71" t="str">
        <x:v>Filler 058</x:v>
      </x:c>
      <x:c r="G234" s="76" t="n">
        <x:v>60</x:v>
      </x:c>
      <x:c r="H234" s="76" t="n">
        <x:v>115.77</x:v>
      </x:c>
      <x:c r="I234" s="76" t="n">
        <x:f>G234*H234</x:f>
        <x:v>6946.2</x:v>
      </x:c>
      <x:c r="J234" s="76" t="n">
        <x:f>IFERROR(INDEX('Inventory'!$E$2:$E$71,MATCH(E234,'Inventory'!$A$2:$A$71,0)),0)</x:f>
        <x:v>9929</x:v>
      </x:c>
      <x:c r="K234" s="76" t="n">
        <x:f>IFERROR(INDEX('Inventory'!$F$2:$F$71,MATCH(E234,'Inventory'!$A$2:$A$71,0)),0)</x:f>
        <x:v>701</x:v>
      </x:c>
      <x:c r="L234" s="76" t="n">
        <x:f>SUMIFS('Open_POs'!$D$2:$D$26,'Open_POs'!$B$2:$B$26,E234,'Open_POs'!$E$2:$E$26,"&lt;="&amp;B234)</x:f>
        <x:v>0</x:v>
      </x:c>
      <x:c r="M234" s="76" t="n">
        <x:f>J234+L234</x:f>
        <x:v>9929</x:v>
      </x:c>
      <x:c r="N234" s="76" t="n">
        <x:f>SUMIFS($I$2:I234,$E$2:E234,E234)</x:f>
        <x:v>38169.3</x:v>
      </x:c>
      <x:c r="O234" s="76" t="n">
        <x:f>M234-N234</x:f>
        <x:v>-28240.300000000003</x:v>
      </x:c>
      <x:c r="P234" s="71" t="str">
        <x:f>IF(O234&lt;0,"SHORT",IF(O234&lt;K234,"BELOW TARGET","COVERED"))</x:f>
        <x:v>SHORT</x:v>
      </x:c>
      <x:c r="Q234" s="63" t="str">
        <x:f>IF(AND(P234="SHORT",COUNTIFS($E$2:E234,E234,$P$2:P234,"SHORT")=1),B234,"")</x:f>
      </x:c>
    </x:row>
    <x:row r="235" ht="15" customHeight="1">
      <x:c r="A235" s="71" t="str">
        <x:v>SO-26047</x:v>
      </x:c>
      <x:c r="B235" s="75" t="n">
        <x:v>46274</x:v>
      </x:c>
      <x:c r="C235" s="71" t="str">
        <x:v>Normal</x:v>
      </x:c>
      <x:c r="D235" s="71" t="str">
        <x:v>FG-015</x:v>
      </x:c>
      <x:c r="E235" s="71" t="str">
        <x:v>RM-067</x:v>
      </x:c>
      <x:c r="F235" s="71" t="str">
        <x:v>Pigment 067</x:v>
      </x:c>
      <x:c r="G235" s="76" t="n">
        <x:v>60</x:v>
      </x:c>
      <x:c r="H235" s="76" t="n">
        <x:v>46.54</x:v>
      </x:c>
      <x:c r="I235" s="76" t="n">
        <x:f>G235*H235</x:f>
        <x:v>2792.4</x:v>
      </x:c>
      <x:c r="J235" s="76" t="n">
        <x:f>IFERROR(INDEX('Inventory'!$E$2:$E$71,MATCH(E235,'Inventory'!$A$2:$A$71,0)),0)</x:f>
        <x:v>10786</x:v>
      </x:c>
      <x:c r="K235" s="76" t="n">
        <x:f>IFERROR(INDEX('Inventory'!$F$2:$F$71,MATCH(E235,'Inventory'!$A$2:$A$71,0)),0)</x:f>
        <x:v>335</x:v>
      </x:c>
      <x:c r="L235" s="76" t="n">
        <x:f>SUMIFS('Open_POs'!$D$2:$D$26,'Open_POs'!$B$2:$B$26,E235,'Open_POs'!$E$2:$E$26,"&lt;="&amp;B235)</x:f>
        <x:v>0</x:v>
      </x:c>
      <x:c r="M235" s="76" t="n">
        <x:f>J235+L235</x:f>
        <x:v>10786</x:v>
      </x:c>
      <x:c r="N235" s="76" t="n">
        <x:f>SUMIFS($I$2:I235,$E$2:E235,E235)</x:f>
        <x:v>12804.3</x:v>
      </x:c>
      <x:c r="O235" s="76" t="n">
        <x:f>M235-N235</x:f>
        <x:v>-2018.2999999999993</x:v>
      </x:c>
      <x:c r="P235" s="71" t="str">
        <x:f>IF(O235&lt;0,"SHORT",IF(O235&lt;K235,"BELOW TARGET","COVERED"))</x:f>
        <x:v>SHORT</x:v>
      </x:c>
      <x:c r="Q235" s="63" t="n">
        <x:f>IF(AND(P235="SHORT",COUNTIFS($E$2:E235,E235,$P$2:P235,"SHORT")=1),B235,"")</x:f>
        <x:v>46274</x:v>
      </x:c>
    </x:row>
    <x:row r="236" ht="15" customHeight="1">
      <x:c r="A236" s="71" t="str">
        <x:v>SO-26057</x:v>
      </x:c>
      <x:c r="B236" s="75" t="n">
        <x:v>46274</x:v>
      </x:c>
      <x:c r="C236" s="71" t="str">
        <x:v>Normal</x:v>
      </x:c>
      <x:c r="D236" s="71" t="str">
        <x:v>FG-023</x:v>
      </x:c>
      <x:c r="E236" s="71" t="str">
        <x:v>RM-010</x:v>
      </x:c>
      <x:c r="F236" s="71" t="str">
        <x:v>Packaging 010</x:v>
      </x:c>
      <x:c r="G236" s="76" t="n">
        <x:v>40</x:v>
      </x:c>
      <x:c r="H236" s="76" t="n">
        <x:v>59.53</x:v>
      </x:c>
      <x:c r="I236" s="76" t="n">
        <x:f>G236*H236</x:f>
        <x:v>2381.2</x:v>
      </x:c>
      <x:c r="J236" s="76" t="n">
        <x:f>IFERROR(INDEX('Inventory'!$E$2:$E$71,MATCH(E236,'Inventory'!$A$2:$A$71,0)),0)</x:f>
        <x:v>14191</x:v>
      </x:c>
      <x:c r="K236" s="76" t="n">
        <x:f>IFERROR(INDEX('Inventory'!$F$2:$F$71,MATCH(E236,'Inventory'!$A$2:$A$71,0)),0)</x:f>
        <x:v>615</x:v>
      </x:c>
      <x:c r="L236" s="76" t="n">
        <x:f>SUMIFS('Open_POs'!$D$2:$D$26,'Open_POs'!$B$2:$B$26,E236,'Open_POs'!$E$2:$E$26,"&lt;="&amp;B236)</x:f>
        <x:v>0</x:v>
      </x:c>
      <x:c r="M236" s="76" t="n">
        <x:f>J236+L236</x:f>
        <x:v>14191</x:v>
      </x:c>
      <x:c r="N236" s="76" t="n">
        <x:f>SUMIFS($I$2:I236,$E$2:E236,E236)</x:f>
        <x:v>29811.000000000004</x:v>
      </x:c>
      <x:c r="O236" s="76" t="n">
        <x:f>M236-N236</x:f>
        <x:v>-15620.000000000004</x:v>
      </x:c>
      <x:c r="P236" s="71" t="str">
        <x:f>IF(O236&lt;0,"SHORT",IF(O236&lt;K236,"BELOW TARGET","COVERED"))</x:f>
        <x:v>SHORT</x:v>
      </x:c>
      <x:c r="Q236" s="63" t="str">
        <x:f>IF(AND(P236="SHORT",COUNTIFS($E$2:E236,E236,$P$2:P236,"SHORT")=1),B236,"")</x:f>
      </x:c>
    </x:row>
    <x:row r="237" ht="15" customHeight="1">
      <x:c r="A237" s="71" t="str">
        <x:v>SO-26057</x:v>
      </x:c>
      <x:c r="B237" s="75" t="n">
        <x:v>46274</x:v>
      </x:c>
      <x:c r="C237" s="71" t="str">
        <x:v>Normal</x:v>
      </x:c>
      <x:c r="D237" s="71" t="str">
        <x:v>FG-023</x:v>
      </x:c>
      <x:c r="E237" s="71" t="str">
        <x:v>RM-032</x:v>
      </x:c>
      <x:c r="F237" s="71" t="str">
        <x:v>Pigment 032</x:v>
      </x:c>
      <x:c r="G237" s="76" t="n">
        <x:v>40</x:v>
      </x:c>
      <x:c r="H237" s="76" t="n">
        <x:v>80.54</x:v>
      </x:c>
      <x:c r="I237" s="76" t="n">
        <x:f>G237*H237</x:f>
        <x:v>3221.6000000000004</x:v>
      </x:c>
      <x:c r="J237" s="76" t="n">
        <x:f>IFERROR(INDEX('Inventory'!$E$2:$E$71,MATCH(E237,'Inventory'!$A$2:$A$71,0)),0)</x:f>
        <x:v>674</x:v>
      </x:c>
      <x:c r="K237" s="76" t="n">
        <x:f>IFERROR(INDEX('Inventory'!$F$2:$F$71,MATCH(E237,'Inventory'!$A$2:$A$71,0)),0)</x:f>
        <x:v>1056</x:v>
      </x:c>
      <x:c r="L237" s="76" t="n">
        <x:f>SUMIFS('Open_POs'!$D$2:$D$26,'Open_POs'!$B$2:$B$26,E237,'Open_POs'!$E$2:$E$26,"&lt;="&amp;B237)</x:f>
        <x:v>0</x:v>
      </x:c>
      <x:c r="M237" s="76" t="n">
        <x:f>J237+L237</x:f>
        <x:v>674</x:v>
      </x:c>
      <x:c r="N237" s="76" t="n">
        <x:f>SUMIFS($I$2:I237,$E$2:E237,E237)</x:f>
        <x:v>41593.7</x:v>
      </x:c>
      <x:c r="O237" s="76" t="n">
        <x:f>M237-N237</x:f>
        <x:v>-40919.7</x:v>
      </x:c>
      <x:c r="P237" s="71" t="str">
        <x:f>IF(O237&lt;0,"SHORT",IF(O237&lt;K237,"BELOW TARGET","COVERED"))</x:f>
        <x:v>SHORT</x:v>
      </x:c>
      <x:c r="Q237" s="63" t="str">
        <x:f>IF(AND(P237="SHORT",COUNTIFS($E$2:E237,E237,$P$2:P237,"SHORT")=1),B237,"")</x:f>
      </x:c>
    </x:row>
    <x:row r="238" ht="15" customHeight="1">
      <x:c r="A238" s="71" t="str">
        <x:v>SO-26057</x:v>
      </x:c>
      <x:c r="B238" s="75" t="n">
        <x:v>46274</x:v>
      </x:c>
      <x:c r="C238" s="71" t="str">
        <x:v>Normal</x:v>
      </x:c>
      <x:c r="D238" s="71" t="str">
        <x:v>FG-023</x:v>
      </x:c>
      <x:c r="E238" s="71" t="str">
        <x:v>RM-046</x:v>
      </x:c>
      <x:c r="F238" s="71" t="str">
        <x:v>Resin 046</x:v>
      </x:c>
      <x:c r="G238" s="76" t="n">
        <x:v>40</x:v>
      </x:c>
      <x:c r="H238" s="76" t="n">
        <x:v>65.28</x:v>
      </x:c>
      <x:c r="I238" s="76" t="n">
        <x:f>G238*H238</x:f>
        <x:v>2611.2</x:v>
      </x:c>
      <x:c r="J238" s="76" t="n">
        <x:f>IFERROR(INDEX('Inventory'!$E$2:$E$71,MATCH(E238,'Inventory'!$A$2:$A$71,0)),0)</x:f>
        <x:v>15936</x:v>
      </x:c>
      <x:c r="K238" s="76" t="n">
        <x:f>IFERROR(INDEX('Inventory'!$F$2:$F$71,MATCH(E238,'Inventory'!$A$2:$A$71,0)),0)</x:f>
        <x:v>991</x:v>
      </x:c>
      <x:c r="L238" s="76" t="n">
        <x:f>SUMIFS('Open_POs'!$D$2:$D$26,'Open_POs'!$B$2:$B$26,E238,'Open_POs'!$E$2:$E$26,"&lt;="&amp;B238)</x:f>
        <x:v>0</x:v>
      </x:c>
      <x:c r="M238" s="76" t="n">
        <x:f>J238+L238</x:f>
        <x:v>15936</x:v>
      </x:c>
      <x:c r="N238" s="76" t="n">
        <x:f>SUMIFS($I$2:I238,$E$2:E238,E238)</x:f>
        <x:v>11160.900000000001</x:v>
      </x:c>
      <x:c r="O238" s="76" t="n">
        <x:f>M238-N238</x:f>
        <x:v>4775.0999999999985</x:v>
      </x:c>
      <x:c r="P238" s="71" t="str">
        <x:f>IF(O238&lt;0,"SHORT",IF(O238&lt;K238,"BELOW TARGET","COVERED"))</x:f>
        <x:v>COVERED</x:v>
      </x:c>
      <x:c r="Q238" s="63" t="str">
        <x:f>IF(AND(P238="SHORT",COUNTIFS($E$2:E238,E238,$P$2:P238,"SHORT")=1),B238,"")</x:f>
      </x:c>
    </x:row>
    <x:row r="239" ht="15" customHeight="1">
      <x:c r="A239" s="71" t="str">
        <x:v>SO-26057</x:v>
      </x:c>
      <x:c r="B239" s="75" t="n">
        <x:v>46274</x:v>
      </x:c>
      <x:c r="C239" s="71" t="str">
        <x:v>Normal</x:v>
      </x:c>
      <x:c r="D239" s="71" t="str">
        <x:v>FG-023</x:v>
      </x:c>
      <x:c r="E239" s="71" t="str">
        <x:v>RM-053</x:v>
      </x:c>
      <x:c r="F239" s="71" t="str">
        <x:v>Filler 053</x:v>
      </x:c>
      <x:c r="G239" s="76" t="n">
        <x:v>40</x:v>
      </x:c>
      <x:c r="H239" s="76" t="n">
        <x:v>39.3</x:v>
      </x:c>
      <x:c r="I239" s="76" t="n">
        <x:f>G239*H239</x:f>
        <x:v>1572</x:v>
      </x:c>
      <x:c r="J239" s="76" t="n">
        <x:f>IFERROR(INDEX('Inventory'!$E$2:$E$71,MATCH(E239,'Inventory'!$A$2:$A$71,0)),0)</x:f>
        <x:v>3714</x:v>
      </x:c>
      <x:c r="K239" s="76" t="n">
        <x:f>IFERROR(INDEX('Inventory'!$F$2:$F$71,MATCH(E239,'Inventory'!$A$2:$A$71,0)),0)</x:f>
        <x:v>773</x:v>
      </x:c>
      <x:c r="L239" s="76" t="n">
        <x:f>SUMIFS('Open_POs'!$D$2:$D$26,'Open_POs'!$B$2:$B$26,E239,'Open_POs'!$E$2:$E$26,"&lt;="&amp;B239)</x:f>
        <x:v>0</x:v>
      </x:c>
      <x:c r="M239" s="76" t="n">
        <x:f>J239+L239</x:f>
        <x:v>3714</x:v>
      </x:c>
      <x:c r="N239" s="76" t="n">
        <x:f>SUMIFS($I$2:I239,$E$2:E239,E239)</x:f>
        <x:v>23396.4</x:v>
      </x:c>
      <x:c r="O239" s="76" t="n">
        <x:f>M239-N239</x:f>
        <x:v>-19682.4</x:v>
      </x:c>
      <x:c r="P239" s="71" t="str">
        <x:f>IF(O239&lt;0,"SHORT",IF(O239&lt;K239,"BELOW TARGET","COVERED"))</x:f>
        <x:v>SHORT</x:v>
      </x:c>
      <x:c r="Q239" s="63" t="str">
        <x:f>IF(AND(P239="SHORT",COUNTIFS($E$2:E239,E239,$P$2:P239,"SHORT")=1),B239,"")</x:f>
      </x:c>
    </x:row>
    <x:row r="240" ht="15" customHeight="1">
      <x:c r="A240" s="71" t="str">
        <x:v>SO-26057</x:v>
      </x:c>
      <x:c r="B240" s="75" t="n">
        <x:v>46274</x:v>
      </x:c>
      <x:c r="C240" s="71" t="str">
        <x:v>Normal</x:v>
      </x:c>
      <x:c r="D240" s="71" t="str">
        <x:v>FG-023</x:v>
      </x:c>
      <x:c r="E240" s="71" t="str">
        <x:v>RM-059</x:v>
      </x:c>
      <x:c r="F240" s="71" t="str">
        <x:v>Additive 059</x:v>
      </x:c>
      <x:c r="G240" s="76" t="n">
        <x:v>40</x:v>
      </x:c>
      <x:c r="H240" s="76" t="n">
        <x:v>62.42</x:v>
      </x:c>
      <x:c r="I240" s="76" t="n">
        <x:f>G240*H240</x:f>
        <x:v>2496.8</x:v>
      </x:c>
      <x:c r="J240" s="76" t="n">
        <x:f>IFERROR(INDEX('Inventory'!$E$2:$E$71,MATCH(E240,'Inventory'!$A$2:$A$71,0)),0)</x:f>
        <x:v>10488</x:v>
      </x:c>
      <x:c r="K240" s="76" t="n">
        <x:f>IFERROR(INDEX('Inventory'!$F$2:$F$71,MATCH(E240,'Inventory'!$A$2:$A$71,0)),0)</x:f>
        <x:v>1442</x:v>
      </x:c>
      <x:c r="L240" s="76" t="n">
        <x:f>SUMIFS('Open_POs'!$D$2:$D$26,'Open_POs'!$B$2:$B$26,E240,'Open_POs'!$E$2:$E$26,"&lt;="&amp;B240)</x:f>
        <x:v>0</x:v>
      </x:c>
      <x:c r="M240" s="76" t="n">
        <x:f>J240+L240</x:f>
        <x:v>10488</x:v>
      </x:c>
      <x:c r="N240" s="76" t="n">
        <x:f>SUMIFS($I$2:I240,$E$2:E240,E240)</x:f>
        <x:v>27364.4</x:v>
      </x:c>
      <x:c r="O240" s="76" t="n">
        <x:f>M240-N240</x:f>
        <x:v>-16876.4</x:v>
      </x:c>
      <x:c r="P240" s="71" t="str">
        <x:f>IF(O240&lt;0,"SHORT",IF(O240&lt;K240,"BELOW TARGET","COVERED"))</x:f>
        <x:v>SHORT</x:v>
      </x:c>
      <x:c r="Q240" s="63" t="str">
        <x:f>IF(AND(P240="SHORT",COUNTIFS($E$2:E240,E240,$P$2:P240,"SHORT")=1),B240,"")</x:f>
      </x:c>
    </x:row>
    <x:row r="241" ht="15" customHeight="1">
      <x:c r="A241" s="71" t="str">
        <x:v>SO-26057</x:v>
      </x:c>
      <x:c r="B241" s="75" t="n">
        <x:v>46274</x:v>
      </x:c>
      <x:c r="C241" s="71" t="str">
        <x:v>Normal</x:v>
      </x:c>
      <x:c r="D241" s="71" t="str">
        <x:v>FG-023</x:v>
      </x:c>
      <x:c r="E241" s="71" t="str">
        <x:v>RM-060</x:v>
      </x:c>
      <x:c r="F241" s="71" t="str">
        <x:v>Packaging 060</x:v>
      </x:c>
      <x:c r="G241" s="76" t="n">
        <x:v>40</x:v>
      </x:c>
      <x:c r="H241" s="76" t="n">
        <x:v>48.46</x:v>
      </x:c>
      <x:c r="I241" s="76" t="n">
        <x:f>G241*H241</x:f>
        <x:v>1938.4</x:v>
      </x:c>
      <x:c r="J241" s="76" t="n">
        <x:f>IFERROR(INDEX('Inventory'!$E$2:$E$71,MATCH(E241,'Inventory'!$A$2:$A$71,0)),0)</x:f>
        <x:v>17534</x:v>
      </x:c>
      <x:c r="K241" s="76" t="n">
        <x:f>IFERROR(INDEX('Inventory'!$F$2:$F$71,MATCH(E241,'Inventory'!$A$2:$A$71,0)),0)</x:f>
        <x:v>189</x:v>
      </x:c>
      <x:c r="L241" s="76" t="n">
        <x:f>SUMIFS('Open_POs'!$D$2:$D$26,'Open_POs'!$B$2:$B$26,E241,'Open_POs'!$E$2:$E$26,"&lt;="&amp;B241)</x:f>
        <x:v>5000</x:v>
      </x:c>
      <x:c r="M241" s="76" t="n">
        <x:f>J241+L241</x:f>
        <x:v>22534</x:v>
      </x:c>
      <x:c r="N241" s="76" t="n">
        <x:f>SUMIFS($I$2:I241,$E$2:E241,E241)</x:f>
        <x:v>6534.6</x:v>
      </x:c>
      <x:c r="O241" s="76" t="n">
        <x:f>M241-N241</x:f>
        <x:v>15999.4</x:v>
      </x:c>
      <x:c r="P241" s="71" t="str">
        <x:f>IF(O241&lt;0,"SHORT",IF(O241&lt;K241,"BELOW TARGET","COVERED"))</x:f>
        <x:v>COVERED</x:v>
      </x:c>
      <x:c r="Q241" s="63" t="str">
        <x:f>IF(AND(P241="SHORT",COUNTIFS($E$2:E241,E241,$P$2:P241,"SHORT")=1),B241,"")</x:f>
      </x:c>
    </x:row>
    <x:row r="242" ht="15" customHeight="1">
      <x:c r="A242" s="71" t="str">
        <x:v>SO-26057</x:v>
      </x:c>
      <x:c r="B242" s="75" t="n">
        <x:v>46274</x:v>
      </x:c>
      <x:c r="C242" s="71" t="str">
        <x:v>Normal</x:v>
      </x:c>
      <x:c r="D242" s="71" t="str">
        <x:v>FG-023</x:v>
      </x:c>
      <x:c r="E242" s="71" t="str">
        <x:v>RM-067</x:v>
      </x:c>
      <x:c r="F242" s="71" t="str">
        <x:v>Pigment 067</x:v>
      </x:c>
      <x:c r="G242" s="76" t="n">
        <x:v>40</x:v>
      </x:c>
      <x:c r="H242" s="76" t="n">
        <x:v>43.39</x:v>
      </x:c>
      <x:c r="I242" s="76" t="n">
        <x:f>G242*H242</x:f>
        <x:v>1735.6</x:v>
      </x:c>
      <x:c r="J242" s="76" t="n">
        <x:f>IFERROR(INDEX('Inventory'!$E$2:$E$71,MATCH(E242,'Inventory'!$A$2:$A$71,0)),0)</x:f>
        <x:v>10786</x:v>
      </x:c>
      <x:c r="K242" s="76" t="n">
        <x:f>IFERROR(INDEX('Inventory'!$F$2:$F$71,MATCH(E242,'Inventory'!$A$2:$A$71,0)),0)</x:f>
        <x:v>335</x:v>
      </x:c>
      <x:c r="L242" s="76" t="n">
        <x:f>SUMIFS('Open_POs'!$D$2:$D$26,'Open_POs'!$B$2:$B$26,E242,'Open_POs'!$E$2:$E$26,"&lt;="&amp;B242)</x:f>
        <x:v>0</x:v>
      </x:c>
      <x:c r="M242" s="76" t="n">
        <x:f>J242+L242</x:f>
        <x:v>10786</x:v>
      </x:c>
      <x:c r="N242" s="76" t="n">
        <x:f>SUMIFS($I$2:I242,$E$2:E242,E242)</x:f>
        <x:v>14539.9</x:v>
      </x:c>
      <x:c r="O242" s="76" t="n">
        <x:f>M242-N242</x:f>
        <x:v>-3753.8999999999996</x:v>
      </x:c>
      <x:c r="P242" s="71" t="str">
        <x:f>IF(O242&lt;0,"SHORT",IF(O242&lt;K242,"BELOW TARGET","COVERED"))</x:f>
        <x:v>SHORT</x:v>
      </x:c>
      <x:c r="Q242" s="63" t="str">
        <x:f>IF(AND(P242="SHORT",COUNTIFS($E$2:E242,E242,$P$2:P242,"SHORT")=1),B242,"")</x:f>
      </x:c>
    </x:row>
    <x:row r="243" ht="15" customHeight="1">
      <x:c r="A243" s="71" t="str">
        <x:v>SO-26075</x:v>
      </x:c>
      <x:c r="B243" s="75" t="n">
        <x:v>46274</x:v>
      </x:c>
      <x:c r="C243" s="71" t="str">
        <x:v>Normal</x:v>
      </x:c>
      <x:c r="D243" s="71" t="str">
        <x:v>FG-016</x:v>
      </x:c>
      <x:c r="E243" s="71" t="str">
        <x:v>RM-004</x:v>
      </x:c>
      <x:c r="F243" s="71" t="str">
        <x:v>Additive 004</x:v>
      </x:c>
      <x:c r="G243" s="76" t="n">
        <x:v>50</x:v>
      </x:c>
      <x:c r="H243" s="76" t="n">
        <x:v>6.48</x:v>
      </x:c>
      <x:c r="I243" s="76" t="n">
        <x:f>G243*H243</x:f>
        <x:v>324</x:v>
      </x:c>
      <x:c r="J243" s="76" t="n">
        <x:f>IFERROR(INDEX('Inventory'!$E$2:$E$71,MATCH(E243,'Inventory'!$A$2:$A$71,0)),0)</x:f>
        <x:v>11262</x:v>
      </x:c>
      <x:c r="K243" s="76" t="n">
        <x:f>IFERROR(INDEX('Inventory'!$F$2:$F$71,MATCH(E243,'Inventory'!$A$2:$A$71,0)),0)</x:f>
        <x:v>1178</x:v>
      </x:c>
      <x:c r="L243" s="76" t="n">
        <x:f>SUMIFS('Open_POs'!$D$2:$D$26,'Open_POs'!$B$2:$B$26,E243,'Open_POs'!$E$2:$E$26,"&lt;="&amp;B243)</x:f>
        <x:v>0</x:v>
      </x:c>
      <x:c r="M243" s="76" t="n">
        <x:f>J243+L243</x:f>
        <x:v>11262</x:v>
      </x:c>
      <x:c r="N243" s="76" t="n">
        <x:f>SUMIFS($I$2:I243,$E$2:E243,E243)</x:f>
        <x:v>6163.6</x:v>
      </x:c>
      <x:c r="O243" s="76" t="n">
        <x:f>M243-N243</x:f>
        <x:v>5098.4</x:v>
      </x:c>
      <x:c r="P243" s="71" t="str">
        <x:f>IF(O243&lt;0,"SHORT",IF(O243&lt;K243,"BELOW TARGET","COVERED"))</x:f>
        <x:v>COVERED</x:v>
      </x:c>
      <x:c r="Q243" s="63" t="str">
        <x:f>IF(AND(P243="SHORT",COUNTIFS($E$2:E243,E243,$P$2:P243,"SHORT")=1),B243,"")</x:f>
      </x:c>
    </x:row>
    <x:row r="244" ht="15" customHeight="1">
      <x:c r="A244" s="71" t="str">
        <x:v>SO-26075</x:v>
      </x:c>
      <x:c r="B244" s="75" t="n">
        <x:v>46274</x:v>
      </x:c>
      <x:c r="C244" s="71" t="str">
        <x:v>Normal</x:v>
      </x:c>
      <x:c r="D244" s="71" t="str">
        <x:v>FG-016</x:v>
      </x:c>
      <x:c r="E244" s="71" t="str">
        <x:v>RM-010</x:v>
      </x:c>
      <x:c r="F244" s="71" t="str">
        <x:v>Packaging 010</x:v>
      </x:c>
      <x:c r="G244" s="76" t="n">
        <x:v>50</x:v>
      </x:c>
      <x:c r="H244" s="76" t="n">
        <x:v>48.81</x:v>
      </x:c>
      <x:c r="I244" s="76" t="n">
        <x:f>G244*H244</x:f>
        <x:v>2440.5</x:v>
      </x:c>
      <x:c r="J244" s="76" t="n">
        <x:f>IFERROR(INDEX('Inventory'!$E$2:$E$71,MATCH(E244,'Inventory'!$A$2:$A$71,0)),0)</x:f>
        <x:v>14191</x:v>
      </x:c>
      <x:c r="K244" s="76" t="n">
        <x:f>IFERROR(INDEX('Inventory'!$F$2:$F$71,MATCH(E244,'Inventory'!$A$2:$A$71,0)),0)</x:f>
        <x:v>615</x:v>
      </x:c>
      <x:c r="L244" s="76" t="n">
        <x:f>SUMIFS('Open_POs'!$D$2:$D$26,'Open_POs'!$B$2:$B$26,E244,'Open_POs'!$E$2:$E$26,"&lt;="&amp;B244)</x:f>
        <x:v>0</x:v>
      </x:c>
      <x:c r="M244" s="76" t="n">
        <x:f>J244+L244</x:f>
        <x:v>14191</x:v>
      </x:c>
      <x:c r="N244" s="76" t="n">
        <x:f>SUMIFS($I$2:I244,$E$2:E244,E244)</x:f>
        <x:v>32251.500000000004</x:v>
      </x:c>
      <x:c r="O244" s="76" t="n">
        <x:f>M244-N244</x:f>
        <x:v>-18060.500000000004</x:v>
      </x:c>
      <x:c r="P244" s="71" t="str">
        <x:f>IF(O244&lt;0,"SHORT",IF(O244&lt;K244,"BELOW TARGET","COVERED"))</x:f>
        <x:v>SHORT</x:v>
      </x:c>
      <x:c r="Q244" s="63" t="str">
        <x:f>IF(AND(P244="SHORT",COUNTIFS($E$2:E244,E244,$P$2:P244,"SHORT")=1),B244,"")</x:f>
      </x:c>
    </x:row>
    <x:row r="245" ht="15" customHeight="1">
      <x:c r="A245" s="71" t="str">
        <x:v>SO-26075</x:v>
      </x:c>
      <x:c r="B245" s="75" t="n">
        <x:v>46274</x:v>
      </x:c>
      <x:c r="C245" s="71" t="str">
        <x:v>Normal</x:v>
      </x:c>
      <x:c r="D245" s="71" t="str">
        <x:v>FG-016</x:v>
      </x:c>
      <x:c r="E245" s="71" t="str">
        <x:v>RM-016</x:v>
      </x:c>
      <x:c r="F245" s="71" t="str">
        <x:v>Resin 016</x:v>
      </x:c>
      <x:c r="G245" s="76" t="n">
        <x:v>50</x:v>
      </x:c>
      <x:c r="H245" s="76" t="n">
        <x:v>32.75</x:v>
      </x:c>
      <x:c r="I245" s="76" t="n">
        <x:f>G245*H245</x:f>
        <x:v>1637.5</x:v>
      </x:c>
      <x:c r="J245" s="76" t="n">
        <x:f>IFERROR(INDEX('Inventory'!$E$2:$E$71,MATCH(E245,'Inventory'!$A$2:$A$71,0)),0)</x:f>
        <x:v>116</x:v>
      </x:c>
      <x:c r="K245" s="76" t="n">
        <x:f>IFERROR(INDEX('Inventory'!$F$2:$F$71,MATCH(E245,'Inventory'!$A$2:$A$71,0)),0)</x:f>
        <x:v>888</x:v>
      </x:c>
      <x:c r="L245" s="76" t="n">
        <x:f>SUMIFS('Open_POs'!$D$2:$D$26,'Open_POs'!$B$2:$B$26,E245,'Open_POs'!$E$2:$E$26,"&lt;="&amp;B245)</x:f>
        <x:v>0</x:v>
      </x:c>
      <x:c r="M245" s="76" t="n">
        <x:f>J245+L245</x:f>
        <x:v>116</x:v>
      </x:c>
      <x:c r="N245" s="76" t="n">
        <x:f>SUMIFS($I$2:I245,$E$2:E245,E245)</x:f>
        <x:v>7422.8</x:v>
      </x:c>
      <x:c r="O245" s="76" t="n">
        <x:f>M245-N245</x:f>
        <x:v>-7306.8</x:v>
      </x:c>
      <x:c r="P245" s="71" t="str">
        <x:f>IF(O245&lt;0,"SHORT",IF(O245&lt;K245,"BELOW TARGET","COVERED"))</x:f>
        <x:v>SHORT</x:v>
      </x:c>
      <x:c r="Q245" s="63" t="str">
        <x:f>IF(AND(P245="SHORT",COUNTIFS($E$2:E245,E245,$P$2:P245,"SHORT")=1),B245,"")</x:f>
      </x:c>
    </x:row>
    <x:row r="246" ht="15" customHeight="1">
      <x:c r="A246" s="71" t="str">
        <x:v>SO-26075</x:v>
      </x:c>
      <x:c r="B246" s="75" t="n">
        <x:v>46274</x:v>
      </x:c>
      <x:c r="C246" s="71" t="str">
        <x:v>Normal</x:v>
      </x:c>
      <x:c r="D246" s="71" t="str">
        <x:v>FG-016</x:v>
      </x:c>
      <x:c r="E246" s="71" t="str">
        <x:v>RM-023</x:v>
      </x:c>
      <x:c r="F246" s="71" t="str">
        <x:v>Filler 023</x:v>
      </x:c>
      <x:c r="G246" s="76" t="n">
        <x:v>50</x:v>
      </x:c>
      <x:c r="H246" s="76" t="n">
        <x:v>27.38</x:v>
      </x:c>
      <x:c r="I246" s="76" t="n">
        <x:f>G246*H246</x:f>
        <x:v>1369</x:v>
      </x:c>
      <x:c r="J246" s="76" t="n">
        <x:f>IFERROR(INDEX('Inventory'!$E$2:$E$71,MATCH(E246,'Inventory'!$A$2:$A$71,0)),0)</x:f>
        <x:v>3401</x:v>
      </x:c>
      <x:c r="K246" s="76" t="n">
        <x:f>IFERROR(INDEX('Inventory'!$F$2:$F$71,MATCH(E246,'Inventory'!$A$2:$A$71,0)),0)</x:f>
        <x:v>418</x:v>
      </x:c>
      <x:c r="L246" s="76" t="n">
        <x:f>SUMIFS('Open_POs'!$D$2:$D$26,'Open_POs'!$B$2:$B$26,E246,'Open_POs'!$E$2:$E$26,"&lt;="&amp;B246)</x:f>
        <x:v>0</x:v>
      </x:c>
      <x:c r="M246" s="76" t="n">
        <x:f>J246+L246</x:f>
        <x:v>3401</x:v>
      </x:c>
      <x:c r="N246" s="76" t="n">
        <x:f>SUMIFS($I$2:I246,$E$2:E246,E246)</x:f>
        <x:v>5086.3</x:v>
      </x:c>
      <x:c r="O246" s="76" t="n">
        <x:f>M246-N246</x:f>
        <x:v>-1685.3000000000002</x:v>
      </x:c>
      <x:c r="P246" s="71" t="str">
        <x:f>IF(O246&lt;0,"SHORT",IF(O246&lt;K246,"BELOW TARGET","COVERED"))</x:f>
        <x:v>SHORT</x:v>
      </x:c>
      <x:c r="Q246" s="63" t="str">
        <x:f>IF(AND(P246="SHORT",COUNTIFS($E$2:E246,E246,$P$2:P246,"SHORT")=1),B246,"")</x:f>
      </x:c>
    </x:row>
    <x:row r="247" ht="15" customHeight="1">
      <x:c r="A247" s="71" t="str">
        <x:v>SO-26075</x:v>
      </x:c>
      <x:c r="B247" s="75" t="n">
        <x:v>46274</x:v>
      </x:c>
      <x:c r="C247" s="71" t="str">
        <x:v>Normal</x:v>
      </x:c>
      <x:c r="D247" s="71" t="str">
        <x:v>FG-016</x:v>
      </x:c>
      <x:c r="E247" s="71" t="str">
        <x:v>RM-031</x:v>
      </x:c>
      <x:c r="F247" s="71" t="str">
        <x:v>Resin 031</x:v>
      </x:c>
      <x:c r="G247" s="76" t="n">
        <x:v>50</x:v>
      </x:c>
      <x:c r="H247" s="76" t="n">
        <x:v>27.04</x:v>
      </x:c>
      <x:c r="I247" s="76" t="n">
        <x:f>G247*H247</x:f>
        <x:v>1352</x:v>
      </x:c>
      <x:c r="J247" s="76" t="n">
        <x:f>IFERROR(INDEX('Inventory'!$E$2:$E$71,MATCH(E247,'Inventory'!$A$2:$A$71,0)),0)</x:f>
        <x:v>6087</x:v>
      </x:c>
      <x:c r="K247" s="76" t="n">
        <x:f>IFERROR(INDEX('Inventory'!$F$2:$F$71,MATCH(E247,'Inventory'!$A$2:$A$71,0)),0)</x:f>
        <x:v>714</x:v>
      </x:c>
      <x:c r="L247" s="76" t="n">
        <x:f>SUMIFS('Open_POs'!$D$2:$D$26,'Open_POs'!$B$2:$B$26,E247,'Open_POs'!$E$2:$E$26,"&lt;="&amp;B247)</x:f>
        <x:v>0</x:v>
      </x:c>
      <x:c r="M247" s="76" t="n">
        <x:f>J247+L247</x:f>
        <x:v>6087</x:v>
      </x:c>
      <x:c r="N247" s="76" t="n">
        <x:f>SUMIFS($I$2:I247,$E$2:E247,E247)</x:f>
        <x:v>12618.9</x:v>
      </x:c>
      <x:c r="O247" s="76" t="n">
        <x:f>M247-N247</x:f>
        <x:v>-6531.9</x:v>
      </x:c>
      <x:c r="P247" s="71" t="str">
        <x:f>IF(O247&lt;0,"SHORT",IF(O247&lt;K247,"BELOW TARGET","COVERED"))</x:f>
        <x:v>SHORT</x:v>
      </x:c>
      <x:c r="Q247" s="63" t="str">
        <x:f>IF(AND(P247="SHORT",COUNTIFS($E$2:E247,E247,$P$2:P247,"SHORT")=1),B247,"")</x:f>
      </x:c>
    </x:row>
    <x:row r="248" ht="15" customHeight="1">
      <x:c r="A248" s="71" t="str">
        <x:v>SO-26075</x:v>
      </x:c>
      <x:c r="B248" s="75" t="n">
        <x:v>46274</x:v>
      </x:c>
      <x:c r="C248" s="71" t="str">
        <x:v>Normal</x:v>
      </x:c>
      <x:c r="D248" s="71" t="str">
        <x:v>FG-016</x:v>
      </x:c>
      <x:c r="E248" s="71" t="str">
        <x:v>RM-039</x:v>
      </x:c>
      <x:c r="F248" s="71" t="str">
        <x:v>Additive 039</x:v>
      </x:c>
      <x:c r="G248" s="76" t="n">
        <x:v>50</x:v>
      </x:c>
      <x:c r="H248" s="76" t="n">
        <x:v>18.02</x:v>
      </x:c>
      <x:c r="I248" s="76" t="n">
        <x:f>G248*H248</x:f>
        <x:v>901</x:v>
      </x:c>
      <x:c r="J248" s="76" t="n">
        <x:f>IFERROR(INDEX('Inventory'!$E$2:$E$71,MATCH(E248,'Inventory'!$A$2:$A$71,0)),0)</x:f>
        <x:v>15593</x:v>
      </x:c>
      <x:c r="K248" s="76" t="n">
        <x:f>IFERROR(INDEX('Inventory'!$F$2:$F$71,MATCH(E248,'Inventory'!$A$2:$A$71,0)),0)</x:f>
        <x:v>1243</x:v>
      </x:c>
      <x:c r="L248" s="76" t="n">
        <x:f>SUMIFS('Open_POs'!$D$2:$D$26,'Open_POs'!$B$2:$B$26,E248,'Open_POs'!$E$2:$E$26,"&lt;="&amp;B248)</x:f>
        <x:v>0</x:v>
      </x:c>
      <x:c r="M248" s="76" t="n">
        <x:f>J248+L248</x:f>
        <x:v>15593</x:v>
      </x:c>
      <x:c r="N248" s="76" t="n">
        <x:f>SUMIFS($I$2:I248,$E$2:E248,E248)</x:f>
        <x:v>36366.399999999994</x:v>
      </x:c>
      <x:c r="O248" s="76" t="n">
        <x:f>M248-N248</x:f>
        <x:v>-20773.399999999994</x:v>
      </x:c>
      <x:c r="P248" s="71" t="str">
        <x:f>IF(O248&lt;0,"SHORT",IF(O248&lt;K248,"BELOW TARGET","COVERED"))</x:f>
        <x:v>SHORT</x:v>
      </x:c>
      <x:c r="Q248" s="63" t="str">
        <x:f>IF(AND(P248="SHORT",COUNTIFS($E$2:E248,E248,$P$2:P248,"SHORT")=1),B248,"")</x:f>
      </x:c>
    </x:row>
    <x:row r="249" ht="15" customHeight="1">
      <x:c r="A249" s="71" t="str">
        <x:v>SO-26075</x:v>
      </x:c>
      <x:c r="B249" s="75" t="n">
        <x:v>46274</x:v>
      </x:c>
      <x:c r="C249" s="71" t="str">
        <x:v>Normal</x:v>
      </x:c>
      <x:c r="D249" s="71" t="str">
        <x:v>FG-016</x:v>
      </x:c>
      <x:c r="E249" s="71" t="str">
        <x:v>RM-062</x:v>
      </x:c>
      <x:c r="F249" s="71" t="str">
        <x:v>Pigment 062</x:v>
      </x:c>
      <x:c r="G249" s="76" t="n">
        <x:v>50</x:v>
      </x:c>
      <x:c r="H249" s="76" t="n">
        <x:v>9.6</x:v>
      </x:c>
      <x:c r="I249" s="76" t="n">
        <x:f>G249*H249</x:f>
        <x:v>480</x:v>
      </x:c>
      <x:c r="J249" s="76" t="n">
        <x:f>IFERROR(INDEX('Inventory'!$E$2:$E$71,MATCH(E249,'Inventory'!$A$2:$A$71,0)),0)</x:f>
        <x:v>7110</x:v>
      </x:c>
      <x:c r="K249" s="76" t="n">
        <x:f>IFERROR(INDEX('Inventory'!$F$2:$F$71,MATCH(E249,'Inventory'!$A$2:$A$71,0)),0)</x:f>
        <x:v>1339</x:v>
      </x:c>
      <x:c r="L249" s="76" t="n">
        <x:f>SUMIFS('Open_POs'!$D$2:$D$26,'Open_POs'!$B$2:$B$26,E249,'Open_POs'!$E$2:$E$26,"&lt;="&amp;B249)</x:f>
        <x:v>0</x:v>
      </x:c>
      <x:c r="M249" s="76" t="n">
        <x:f>J249+L249</x:f>
        <x:v>7110</x:v>
      </x:c>
      <x:c r="N249" s="76" t="n">
        <x:f>SUMIFS($I$2:I249,$E$2:E249,E249)</x:f>
        <x:v>2207</x:v>
      </x:c>
      <x:c r="O249" s="76" t="n">
        <x:f>M249-N249</x:f>
        <x:v>4903</x:v>
      </x:c>
      <x:c r="P249" s="71" t="str">
        <x:f>IF(O249&lt;0,"SHORT",IF(O249&lt;K249,"BELOW TARGET","COVERED"))</x:f>
        <x:v>COVERED</x:v>
      </x:c>
      <x:c r="Q249" s="63" t="str">
        <x:f>IF(AND(P249="SHORT",COUNTIFS($E$2:E249,E249,$P$2:P249,"SHORT")=1),B249,"")</x:f>
      </x:c>
    </x:row>
    <x:row r="250" ht="15" customHeight="1">
      <x:c r="A250" s="71" t="str">
        <x:v>SO-26025</x:v>
      </x:c>
      <x:c r="B250" s="75" t="n">
        <x:v>46275</x:v>
      </x:c>
      <x:c r="C250" s="71" t="str">
        <x:v>High</x:v>
      </x:c>
      <x:c r="D250" s="71" t="str">
        <x:v>FG-007</x:v>
      </x:c>
      <x:c r="E250" s="71" t="str">
        <x:v>RM-006</x:v>
      </x:c>
      <x:c r="F250" s="71" t="str">
        <x:v>Resin 006</x:v>
      </x:c>
      <x:c r="G250" s="76" t="n">
        <x:v>30</x:v>
      </x:c>
      <x:c r="H250" s="76" t="n">
        <x:v>63.64</x:v>
      </x:c>
      <x:c r="I250" s="76" t="n">
        <x:f>G250*H250</x:f>
        <x:v>1909.2</x:v>
      </x:c>
      <x:c r="J250" s="76" t="n">
        <x:f>IFERROR(INDEX('Inventory'!$E$2:$E$71,MATCH(E250,'Inventory'!$A$2:$A$71,0)),0)</x:f>
        <x:v>1295</x:v>
      </x:c>
      <x:c r="K250" s="76" t="n">
        <x:f>IFERROR(INDEX('Inventory'!$F$2:$F$71,MATCH(E250,'Inventory'!$A$2:$A$71,0)),0)</x:f>
        <x:v>599</x:v>
      </x:c>
      <x:c r="L250" s="76" t="n">
        <x:f>SUMIFS('Open_POs'!$D$2:$D$26,'Open_POs'!$B$2:$B$26,E250,'Open_POs'!$E$2:$E$26,"&lt;="&amp;B250)</x:f>
        <x:v>0</x:v>
      </x:c>
      <x:c r="M250" s="76" t="n">
        <x:f>J250+L250</x:f>
        <x:v>1295</x:v>
      </x:c>
      <x:c r="N250" s="76" t="n">
        <x:f>SUMIFS($I$2:I250,$E$2:E250,E250)</x:f>
        <x:v>3101.1000000000004</x:v>
      </x:c>
      <x:c r="O250" s="76" t="n">
        <x:f>M250-N250</x:f>
        <x:v>-1806.1000000000004</x:v>
      </x:c>
      <x:c r="P250" s="71" t="str">
        <x:f>IF(O250&lt;0,"SHORT",IF(O250&lt;K250,"BELOW TARGET","COVERED"))</x:f>
        <x:v>SHORT</x:v>
      </x:c>
      <x:c r="Q250" s="63" t="n">
        <x:f>IF(AND(P250="SHORT",COUNTIFS($E$2:E250,E250,$P$2:P250,"SHORT")=1),B250,"")</x:f>
        <x:v>46275</x:v>
      </x:c>
    </x:row>
    <x:row r="251" ht="15" customHeight="1">
      <x:c r="A251" s="71" t="str">
        <x:v>SO-26025</x:v>
      </x:c>
      <x:c r="B251" s="75" t="n">
        <x:v>46275</x:v>
      </x:c>
      <x:c r="C251" s="71" t="str">
        <x:v>High</x:v>
      </x:c>
      <x:c r="D251" s="71" t="str">
        <x:v>FG-007</x:v>
      </x:c>
      <x:c r="E251" s="71" t="str">
        <x:v>RM-007</x:v>
      </x:c>
      <x:c r="F251" s="71" t="str">
        <x:v>Pigment 007</x:v>
      </x:c>
      <x:c r="G251" s="76" t="n">
        <x:v>30</x:v>
      </x:c>
      <x:c r="H251" s="76" t="n">
        <x:v>37.48</x:v>
      </x:c>
      <x:c r="I251" s="76" t="n">
        <x:f>G251*H251</x:f>
        <x:v>1124.3999999999999</x:v>
      </x:c>
      <x:c r="J251" s="76" t="n">
        <x:f>IFERROR(INDEX('Inventory'!$E$2:$E$71,MATCH(E251,'Inventory'!$A$2:$A$71,0)),0)</x:f>
        <x:v>9115</x:v>
      </x:c>
      <x:c r="K251" s="76" t="n">
        <x:f>IFERROR(INDEX('Inventory'!$F$2:$F$71,MATCH(E251,'Inventory'!$A$2:$A$71,0)),0)</x:f>
        <x:v>230</x:v>
      </x:c>
      <x:c r="L251" s="76" t="n">
        <x:f>SUMIFS('Open_POs'!$D$2:$D$26,'Open_POs'!$B$2:$B$26,E251,'Open_POs'!$E$2:$E$26,"&lt;="&amp;B251)</x:f>
        <x:v>0</x:v>
      </x:c>
      <x:c r="M251" s="76" t="n">
        <x:f>J251+L251</x:f>
        <x:v>9115</x:v>
      </x:c>
      <x:c r="N251" s="76" t="n">
        <x:f>SUMIFS($I$2:I251,$E$2:E251,E251)</x:f>
        <x:v>7961.999999999999</x:v>
      </x:c>
      <x:c r="O251" s="76" t="n">
        <x:f>M251-N251</x:f>
        <x:v>1153.000000000001</x:v>
      </x:c>
      <x:c r="P251" s="71" t="str">
        <x:f>IF(O251&lt;0,"SHORT",IF(O251&lt;K251,"BELOW TARGET","COVERED"))</x:f>
        <x:v>COVERED</x:v>
      </x:c>
      <x:c r="Q251" s="63" t="str">
        <x:f>IF(AND(P251="SHORT",COUNTIFS($E$2:E251,E251,$P$2:P251,"SHORT")=1),B251,"")</x:f>
      </x:c>
    </x:row>
    <x:row r="252" ht="15" customHeight="1">
      <x:c r="A252" s="71" t="str">
        <x:v>SO-26025</x:v>
      </x:c>
      <x:c r="B252" s="75" t="n">
        <x:v>46275</x:v>
      </x:c>
      <x:c r="C252" s="71" t="str">
        <x:v>High</x:v>
      </x:c>
      <x:c r="D252" s="71" t="str">
        <x:v>FG-007</x:v>
      </x:c>
      <x:c r="E252" s="71" t="str">
        <x:v>RM-037</x:v>
      </x:c>
      <x:c r="F252" s="71" t="str">
        <x:v>Pigment 037</x:v>
      </x:c>
      <x:c r="G252" s="76" t="n">
        <x:v>30</x:v>
      </x:c>
      <x:c r="H252" s="76" t="n">
        <x:v>67.58</x:v>
      </x:c>
      <x:c r="I252" s="76" t="n">
        <x:f>G252*H252</x:f>
        <x:v>2027.3999999999999</x:v>
      </x:c>
      <x:c r="J252" s="76" t="n">
        <x:f>IFERROR(INDEX('Inventory'!$E$2:$E$71,MATCH(E252,'Inventory'!$A$2:$A$71,0)),0)</x:f>
        <x:v>14210</x:v>
      </x:c>
      <x:c r="K252" s="76" t="n">
        <x:f>IFERROR(INDEX('Inventory'!$F$2:$F$71,MATCH(E252,'Inventory'!$A$2:$A$71,0)),0)</x:f>
        <x:v>850</x:v>
      </x:c>
      <x:c r="L252" s="76" t="n">
        <x:f>SUMIFS('Open_POs'!$D$2:$D$26,'Open_POs'!$B$2:$B$26,E252,'Open_POs'!$E$2:$E$26,"&lt;="&amp;B252)</x:f>
        <x:v>2500</x:v>
      </x:c>
      <x:c r="M252" s="76" t="n">
        <x:f>J252+L252</x:f>
        <x:v>16710</x:v>
      </x:c>
      <x:c r="N252" s="76" t="n">
        <x:f>SUMIFS($I$2:I252,$E$2:E252,E252)</x:f>
        <x:v>15952.299999999997</x:v>
      </x:c>
      <x:c r="O252" s="76" t="n">
        <x:f>M252-N252</x:f>
        <x:v>757.7000000000025</x:v>
      </x:c>
      <x:c r="P252" s="71" t="str">
        <x:f>IF(O252&lt;0,"SHORT",IF(O252&lt;K252,"BELOW TARGET","COVERED"))</x:f>
        <x:v>BELOW TARGET</x:v>
      </x:c>
      <x:c r="Q252" s="63" t="str">
        <x:f>IF(AND(P252="SHORT",COUNTIFS($E$2:E252,E252,$P$2:P252,"SHORT")=1),B252,"")</x:f>
      </x:c>
    </x:row>
    <x:row r="253" ht="15" customHeight="1">
      <x:c r="A253" s="71" t="str">
        <x:v>SO-26025</x:v>
      </x:c>
      <x:c r="B253" s="75" t="n">
        <x:v>46275</x:v>
      </x:c>
      <x:c r="C253" s="71" t="str">
        <x:v>High</x:v>
      </x:c>
      <x:c r="D253" s="71" t="str">
        <x:v>FG-007</x:v>
      </x:c>
      <x:c r="E253" s="71" t="str">
        <x:v>RM-041</x:v>
      </x:c>
      <x:c r="F253" s="71" t="str">
        <x:v>Resin 041</x:v>
      </x:c>
      <x:c r="G253" s="76" t="n">
        <x:v>30</x:v>
      </x:c>
      <x:c r="H253" s="76" t="n">
        <x:v>41.77</x:v>
      </x:c>
      <x:c r="I253" s="76" t="n">
        <x:f>G253*H253</x:f>
        <x:v>1253.1000000000001</x:v>
      </x:c>
      <x:c r="J253" s="76" t="n">
        <x:f>IFERROR(INDEX('Inventory'!$E$2:$E$71,MATCH(E253,'Inventory'!$A$2:$A$71,0)),0)</x:f>
        <x:v>4635</x:v>
      </x:c>
      <x:c r="K253" s="76" t="n">
        <x:f>IFERROR(INDEX('Inventory'!$F$2:$F$71,MATCH(E253,'Inventory'!$A$2:$A$71,0)),0)</x:f>
        <x:v>987</x:v>
      </x:c>
      <x:c r="L253" s="76" t="n">
        <x:f>SUMIFS('Open_POs'!$D$2:$D$26,'Open_POs'!$B$2:$B$26,E253,'Open_POs'!$E$2:$E$26,"&lt;="&amp;B253)</x:f>
        <x:v>0</x:v>
      </x:c>
      <x:c r="M253" s="76" t="n">
        <x:f>J253+L253</x:f>
        <x:v>4635</x:v>
      </x:c>
      <x:c r="N253" s="76" t="n">
        <x:f>SUMIFS($I$2:I253,$E$2:E253,E253)</x:f>
        <x:v>6792.200000000001</x:v>
      </x:c>
      <x:c r="O253" s="76" t="n">
        <x:f>M253-N253</x:f>
        <x:v>-2157.2000000000007</x:v>
      </x:c>
      <x:c r="P253" s="71" t="str">
        <x:f>IF(O253&lt;0,"SHORT",IF(O253&lt;K253,"BELOW TARGET","COVERED"))</x:f>
        <x:v>SHORT</x:v>
      </x:c>
      <x:c r="Q253" s="63" t="str">
        <x:f>IF(AND(P253="SHORT",COUNTIFS($E$2:E253,E253,$P$2:P253,"SHORT")=1),B253,"")</x:f>
      </x:c>
    </x:row>
    <x:row r="254" ht="15" customHeight="1">
      <x:c r="A254" s="71" t="str">
        <x:v>SO-26025</x:v>
      </x:c>
      <x:c r="B254" s="75" t="n">
        <x:v>46275</x:v>
      </x:c>
      <x:c r="C254" s="71" t="str">
        <x:v>High</x:v>
      </x:c>
      <x:c r="D254" s="71" t="str">
        <x:v>FG-007</x:v>
      </x:c>
      <x:c r="E254" s="71" t="str">
        <x:v>RM-050</x:v>
      </x:c>
      <x:c r="F254" s="71" t="str">
        <x:v>Packaging 050</x:v>
      </x:c>
      <x:c r="G254" s="76" t="n">
        <x:v>30</x:v>
      </x:c>
      <x:c r="H254" s="76" t="n">
        <x:v>79.38</x:v>
      </x:c>
      <x:c r="I254" s="76" t="n">
        <x:f>G254*H254</x:f>
        <x:v>2381.3999999999996</x:v>
      </x:c>
      <x:c r="J254" s="76" t="n">
        <x:f>IFERROR(INDEX('Inventory'!$E$2:$E$71,MATCH(E254,'Inventory'!$A$2:$A$71,0)),0)</x:f>
        <x:v>5370</x:v>
      </x:c>
      <x:c r="K254" s="76" t="n">
        <x:f>IFERROR(INDEX('Inventory'!$F$2:$F$71,MATCH(E254,'Inventory'!$A$2:$A$71,0)),0)</x:f>
        <x:v>1210</x:v>
      </x:c>
      <x:c r="L254" s="76" t="n">
        <x:f>SUMIFS('Open_POs'!$D$2:$D$26,'Open_POs'!$B$2:$B$26,E254,'Open_POs'!$E$2:$E$26,"&lt;="&amp;B254)</x:f>
        <x:v>0</x:v>
      </x:c>
      <x:c r="M254" s="76" t="n">
        <x:f>J254+L254</x:f>
        <x:v>5370</x:v>
      </x:c>
      <x:c r="N254" s="76" t="n">
        <x:f>SUMIFS($I$2:I254,$E$2:E254,E254)</x:f>
        <x:v>7507.599999999999</x:v>
      </x:c>
      <x:c r="O254" s="76" t="n">
        <x:f>M254-N254</x:f>
        <x:v>-2137.5999999999995</x:v>
      </x:c>
      <x:c r="P254" s="71" t="str">
        <x:f>IF(O254&lt;0,"SHORT",IF(O254&lt;K254,"BELOW TARGET","COVERED"))</x:f>
        <x:v>SHORT</x:v>
      </x:c>
      <x:c r="Q254" s="63" t="n">
        <x:f>IF(AND(P254="SHORT",COUNTIFS($E$2:E254,E254,$P$2:P254,"SHORT")=1),B254,"")</x:f>
        <x:v>46275</x:v>
      </x:c>
    </x:row>
    <x:row r="255" ht="15" customHeight="1">
      <x:c r="A255" s="71" t="str">
        <x:v>SO-26025</x:v>
      </x:c>
      <x:c r="B255" s="75" t="n">
        <x:v>46275</x:v>
      </x:c>
      <x:c r="C255" s="71" t="str">
        <x:v>High</x:v>
      </x:c>
      <x:c r="D255" s="71" t="str">
        <x:v>FG-007</x:v>
      </x:c>
      <x:c r="E255" s="71" t="str">
        <x:v>RM-052</x:v>
      </x:c>
      <x:c r="F255" s="71" t="str">
        <x:v>Pigment 052</x:v>
      </x:c>
      <x:c r="G255" s="76" t="n">
        <x:v>30</x:v>
      </x:c>
      <x:c r="H255" s="76" t="n">
        <x:v>30.43</x:v>
      </x:c>
      <x:c r="I255" s="76" t="n">
        <x:f>G255*H255</x:f>
        <x:v>912.9</x:v>
      </x:c>
      <x:c r="J255" s="76" t="n">
        <x:f>IFERROR(INDEX('Inventory'!$E$2:$E$71,MATCH(E255,'Inventory'!$A$2:$A$71,0)),0)</x:f>
        <x:v>6374</x:v>
      </x:c>
      <x:c r="K255" s="76" t="n">
        <x:f>IFERROR(INDEX('Inventory'!$F$2:$F$71,MATCH(E255,'Inventory'!$A$2:$A$71,0)),0)</x:f>
        <x:v>949</x:v>
      </x:c>
      <x:c r="L255" s="76" t="n">
        <x:f>SUMIFS('Open_POs'!$D$2:$D$26,'Open_POs'!$B$2:$B$26,E255,'Open_POs'!$E$2:$E$26,"&lt;="&amp;B255)</x:f>
        <x:v>1000</x:v>
      </x:c>
      <x:c r="M255" s="76" t="n">
        <x:f>J255+L255</x:f>
        <x:v>7374</x:v>
      </x:c>
      <x:c r="N255" s="76" t="n">
        <x:f>SUMIFS($I$2:I255,$E$2:E255,E255)</x:f>
        <x:v>9459.8</x:v>
      </x:c>
      <x:c r="O255" s="76" t="n">
        <x:f>M255-N255</x:f>
        <x:v>-2085.7999999999993</x:v>
      </x:c>
      <x:c r="P255" s="71" t="str">
        <x:f>IF(O255&lt;0,"SHORT",IF(O255&lt;K255,"BELOW TARGET","COVERED"))</x:f>
        <x:v>SHORT</x:v>
      </x:c>
      <x:c r="Q255" s="63" t="str">
        <x:f>IF(AND(P255="SHORT",COUNTIFS($E$2:E255,E255,$P$2:P255,"SHORT")=1),B255,"")</x:f>
      </x:c>
    </x:row>
    <x:row r="256" ht="15" customHeight="1">
      <x:c r="A256" s="71" t="str">
        <x:v>SO-26025</x:v>
      </x:c>
      <x:c r="B256" s="75" t="n">
        <x:v>46275</x:v>
      </x:c>
      <x:c r="C256" s="71" t="str">
        <x:v>High</x:v>
      </x:c>
      <x:c r="D256" s="71" t="str">
        <x:v>FG-007</x:v>
      </x:c>
      <x:c r="E256" s="71" t="str">
        <x:v>RM-063</x:v>
      </x:c>
      <x:c r="F256" s="71" t="str">
        <x:v>Filler 063</x:v>
      </x:c>
      <x:c r="G256" s="76" t="n">
        <x:v>30</x:v>
      </x:c>
      <x:c r="H256" s="76" t="n">
        <x:v>104.71</x:v>
      </x:c>
      <x:c r="I256" s="76" t="n">
        <x:f>G256*H256</x:f>
        <x:v>3141.2999999999997</x:v>
      </x:c>
      <x:c r="J256" s="76" t="n">
        <x:f>IFERROR(INDEX('Inventory'!$E$2:$E$71,MATCH(E256,'Inventory'!$A$2:$A$71,0)),0)</x:f>
        <x:v>7508</x:v>
      </x:c>
      <x:c r="K256" s="76" t="n">
        <x:f>IFERROR(INDEX('Inventory'!$F$2:$F$71,MATCH(E256,'Inventory'!$A$2:$A$71,0)),0)</x:f>
        <x:v>1090</x:v>
      </x:c>
      <x:c r="L256" s="76" t="n">
        <x:f>SUMIFS('Open_POs'!$D$2:$D$26,'Open_POs'!$B$2:$B$26,E256,'Open_POs'!$E$2:$E$26,"&lt;="&amp;B256)</x:f>
        <x:v>5000</x:v>
      </x:c>
      <x:c r="M256" s="76" t="n">
        <x:f>J256+L256</x:f>
        <x:v>12508</x:v>
      </x:c>
      <x:c r="N256" s="76" t="n">
        <x:f>SUMIFS($I$2:I256,$E$2:E256,E256)</x:f>
        <x:v>47507.8</x:v>
      </x:c>
      <x:c r="O256" s="76" t="n">
        <x:f>M256-N256</x:f>
        <x:v>-34999.8</x:v>
      </x:c>
      <x:c r="P256" s="71" t="str">
        <x:f>IF(O256&lt;0,"SHORT",IF(O256&lt;K256,"BELOW TARGET","COVERED"))</x:f>
        <x:v>SHORT</x:v>
      </x:c>
      <x:c r="Q256" s="63" t="str">
        <x:f>IF(AND(P256="SHORT",COUNTIFS($E$2:E256,E256,$P$2:P256,"SHORT")=1),B256,"")</x:f>
      </x:c>
    </x:row>
    <x:row r="257" ht="15" customHeight="1">
      <x:c r="A257" s="71" t="str">
        <x:v>SO-26025</x:v>
      </x:c>
      <x:c r="B257" s="75" t="n">
        <x:v>46275</x:v>
      </x:c>
      <x:c r="C257" s="71" t="str">
        <x:v>High</x:v>
      </x:c>
      <x:c r="D257" s="71" t="str">
        <x:v>FG-007</x:v>
      </x:c>
      <x:c r="E257" s="71" t="str">
        <x:v>RM-065</x:v>
      </x:c>
      <x:c r="F257" s="71" t="str">
        <x:v>Packaging 065</x:v>
      </x:c>
      <x:c r="G257" s="76" t="n">
        <x:v>30</x:v>
      </x:c>
      <x:c r="H257" s="76" t="n">
        <x:v>117.99</x:v>
      </x:c>
      <x:c r="I257" s="76" t="n">
        <x:f>G257*H257</x:f>
        <x:v>3539.7</x:v>
      </x:c>
      <x:c r="J257" s="76" t="n">
        <x:f>IFERROR(INDEX('Inventory'!$E$2:$E$71,MATCH(E257,'Inventory'!$A$2:$A$71,0)),0)</x:f>
        <x:v>9289</x:v>
      </x:c>
      <x:c r="K257" s="76" t="n">
        <x:f>IFERROR(INDEX('Inventory'!$F$2:$F$71,MATCH(E257,'Inventory'!$A$2:$A$71,0)),0)</x:f>
        <x:v>282</x:v>
      </x:c>
      <x:c r="L257" s="76" t="n">
        <x:f>SUMIFS('Open_POs'!$D$2:$D$26,'Open_POs'!$B$2:$B$26,E257,'Open_POs'!$E$2:$E$26,"&lt;="&amp;B257)</x:f>
        <x:v>0</x:v>
      </x:c>
      <x:c r="M257" s="76" t="n">
        <x:f>J257+L257</x:f>
        <x:v>9289</x:v>
      </x:c>
      <x:c r="N257" s="76" t="n">
        <x:f>SUMIFS($I$2:I257,$E$2:E257,E257)</x:f>
        <x:v>4719.599999999999</x:v>
      </x:c>
      <x:c r="O257" s="76" t="n">
        <x:f>M257-N257</x:f>
        <x:v>4569.400000000001</x:v>
      </x:c>
      <x:c r="P257" s="71" t="str">
        <x:f>IF(O257&lt;0,"SHORT",IF(O257&lt;K257,"BELOW TARGET","COVERED"))</x:f>
        <x:v>COVERED</x:v>
      </x:c>
      <x:c r="Q257" s="63" t="str">
        <x:f>IF(AND(P257="SHORT",COUNTIFS($E$2:E257,E257,$P$2:P257,"SHORT")=1),B257,"")</x:f>
      </x:c>
    </x:row>
    <x:row r="258" ht="15" customHeight="1">
      <x:c r="A258" s="71" t="str">
        <x:v>SO-26077</x:v>
      </x:c>
      <x:c r="B258" s="75" t="n">
        <x:v>46275</x:v>
      </x:c>
      <x:c r="C258" s="71" t="str">
        <x:v>High</x:v>
      </x:c>
      <x:c r="D258" s="71" t="str">
        <x:v>FG-013</x:v>
      </x:c>
      <x:c r="E258" s="71" t="str">
        <x:v>RM-020</x:v>
      </x:c>
      <x:c r="F258" s="71" t="str">
        <x:v>Packaging 020</x:v>
      </x:c>
      <x:c r="G258" s="76" t="n">
        <x:v>100</x:v>
      </x:c>
      <x:c r="H258" s="76" t="n">
        <x:v>43.07</x:v>
      </x:c>
      <x:c r="I258" s="76" t="n">
        <x:f>G258*H258</x:f>
        <x:v>4307</x:v>
      </x:c>
      <x:c r="J258" s="76" t="n">
        <x:f>IFERROR(INDEX('Inventory'!$E$2:$E$71,MATCH(E258,'Inventory'!$A$2:$A$71,0)),0)</x:f>
        <x:v>10528</x:v>
      </x:c>
      <x:c r="K258" s="76" t="n">
        <x:f>IFERROR(INDEX('Inventory'!$F$2:$F$71,MATCH(E258,'Inventory'!$A$2:$A$71,0)),0)</x:f>
        <x:v>881</x:v>
      </x:c>
      <x:c r="L258" s="76" t="n">
        <x:f>SUMIFS('Open_POs'!$D$2:$D$26,'Open_POs'!$B$2:$B$26,E258,'Open_POs'!$E$2:$E$26,"&lt;="&amp;B258)</x:f>
        <x:v>2500</x:v>
      </x:c>
      <x:c r="M258" s="76" t="n">
        <x:f>J258+L258</x:f>
        <x:v>13028</x:v>
      </x:c>
      <x:c r="N258" s="76" t="n">
        <x:f>SUMIFS($I$2:I258,$E$2:E258,E258)</x:f>
        <x:v>19412.2</x:v>
      </x:c>
      <x:c r="O258" s="76" t="n">
        <x:f>M258-N258</x:f>
        <x:v>-6384.200000000001</x:v>
      </x:c>
      <x:c r="P258" s="71" t="str">
        <x:f>IF(O258&lt;0,"SHORT",IF(O258&lt;K258,"BELOW TARGET","COVERED"))</x:f>
        <x:v>SHORT</x:v>
      </x:c>
      <x:c r="Q258" s="63" t="str">
        <x:f>IF(AND(P258="SHORT",COUNTIFS($E$2:E258,E258,$P$2:P258,"SHORT")=1),B258,"")</x:f>
      </x:c>
    </x:row>
    <x:row r="259" ht="15" customHeight="1">
      <x:c r="A259" s="71" t="str">
        <x:v>SO-26077</x:v>
      </x:c>
      <x:c r="B259" s="75" t="n">
        <x:v>46275</x:v>
      </x:c>
      <x:c r="C259" s="71" t="str">
        <x:v>High</x:v>
      </x:c>
      <x:c r="D259" s="71" t="str">
        <x:v>FG-013</x:v>
      </x:c>
      <x:c r="E259" s="71" t="str">
        <x:v>RM-025</x:v>
      </x:c>
      <x:c r="F259" s="71" t="str">
        <x:v>Packaging 025</x:v>
      </x:c>
      <x:c r="G259" s="76" t="n">
        <x:v>100</x:v>
      </x:c>
      <x:c r="H259" s="76" t="n">
        <x:v>50.79</x:v>
      </x:c>
      <x:c r="I259" s="76" t="n">
        <x:f>G259*H259</x:f>
        <x:v>5079</x:v>
      </x:c>
      <x:c r="J259" s="76" t="n">
        <x:f>IFERROR(INDEX('Inventory'!$E$2:$E$71,MATCH(E259,'Inventory'!$A$2:$A$71,0)),0)</x:f>
        <x:v>2469</x:v>
      </x:c>
      <x:c r="K259" s="76" t="n">
        <x:f>IFERROR(INDEX('Inventory'!$F$2:$F$71,MATCH(E259,'Inventory'!$A$2:$A$71,0)),0)</x:f>
        <x:v>229</x:v>
      </x:c>
      <x:c r="L259" s="76" t="n">
        <x:f>SUMIFS('Open_POs'!$D$2:$D$26,'Open_POs'!$B$2:$B$26,E259,'Open_POs'!$E$2:$E$26,"&lt;="&amp;B259)</x:f>
        <x:v>10000</x:v>
      </x:c>
      <x:c r="M259" s="76" t="n">
        <x:f>J259+L259</x:f>
        <x:v>12469</x:v>
      </x:c>
      <x:c r="N259" s="76" t="n">
        <x:f>SUMIFS($I$2:I259,$E$2:E259,E259)</x:f>
        <x:v>24139.999999999996</x:v>
      </x:c>
      <x:c r="O259" s="76" t="n">
        <x:f>M259-N259</x:f>
        <x:v>-11670.999999999996</x:v>
      </x:c>
      <x:c r="P259" s="71" t="str">
        <x:f>IF(O259&lt;0,"SHORT",IF(O259&lt;K259,"BELOW TARGET","COVERED"))</x:f>
        <x:v>SHORT</x:v>
      </x:c>
      <x:c r="Q259" s="63" t="str">
        <x:f>IF(AND(P259="SHORT",COUNTIFS($E$2:E259,E259,$P$2:P259,"SHORT")=1),B259,"")</x:f>
      </x:c>
    </x:row>
    <x:row r="260" ht="15" customHeight="1">
      <x:c r="A260" s="71" t="str">
        <x:v>SO-26077</x:v>
      </x:c>
      <x:c r="B260" s="75" t="n">
        <x:v>46275</x:v>
      </x:c>
      <x:c r="C260" s="71" t="str">
        <x:v>High</x:v>
      </x:c>
      <x:c r="D260" s="71" t="str">
        <x:v>FG-013</x:v>
      </x:c>
      <x:c r="E260" s="71" t="str">
        <x:v>RM-032</x:v>
      </x:c>
      <x:c r="F260" s="71" t="str">
        <x:v>Pigment 032</x:v>
      </x:c>
      <x:c r="G260" s="76" t="n">
        <x:v>100</x:v>
      </x:c>
      <x:c r="H260" s="76" t="n">
        <x:v>11.74</x:v>
      </x:c>
      <x:c r="I260" s="76" t="n">
        <x:f>G260*H260</x:f>
        <x:v>1174</x:v>
      </x:c>
      <x:c r="J260" s="76" t="n">
        <x:f>IFERROR(INDEX('Inventory'!$E$2:$E$71,MATCH(E260,'Inventory'!$A$2:$A$71,0)),0)</x:f>
        <x:v>674</x:v>
      </x:c>
      <x:c r="K260" s="76" t="n">
        <x:f>IFERROR(INDEX('Inventory'!$F$2:$F$71,MATCH(E260,'Inventory'!$A$2:$A$71,0)),0)</x:f>
        <x:v>1056</x:v>
      </x:c>
      <x:c r="L260" s="76" t="n">
        <x:f>SUMIFS('Open_POs'!$D$2:$D$26,'Open_POs'!$B$2:$B$26,E260,'Open_POs'!$E$2:$E$26,"&lt;="&amp;B260)</x:f>
        <x:v>0</x:v>
      </x:c>
      <x:c r="M260" s="76" t="n">
        <x:f>J260+L260</x:f>
        <x:v>674</x:v>
      </x:c>
      <x:c r="N260" s="76" t="n">
        <x:f>SUMIFS($I$2:I260,$E$2:E260,E260)</x:f>
        <x:v>42767.7</x:v>
      </x:c>
      <x:c r="O260" s="76" t="n">
        <x:f>M260-N260</x:f>
        <x:v>-42093.7</x:v>
      </x:c>
      <x:c r="P260" s="71" t="str">
        <x:f>IF(O260&lt;0,"SHORT",IF(O260&lt;K260,"BELOW TARGET","COVERED"))</x:f>
        <x:v>SHORT</x:v>
      </x:c>
      <x:c r="Q260" s="63" t="str">
        <x:f>IF(AND(P260="SHORT",COUNTIFS($E$2:E260,E260,$P$2:P260,"SHORT")=1),B260,"")</x:f>
      </x:c>
    </x:row>
    <x:row r="261" ht="15" customHeight="1">
      <x:c r="A261" s="71" t="str">
        <x:v>SO-26077</x:v>
      </x:c>
      <x:c r="B261" s="75" t="n">
        <x:v>46275</x:v>
      </x:c>
      <x:c r="C261" s="71" t="str">
        <x:v>High</x:v>
      </x:c>
      <x:c r="D261" s="71" t="str">
        <x:v>FG-013</x:v>
      </x:c>
      <x:c r="E261" s="71" t="str">
        <x:v>RM-034</x:v>
      </x:c>
      <x:c r="F261" s="71" t="str">
        <x:v>Additive 034</x:v>
      </x:c>
      <x:c r="G261" s="76" t="n">
        <x:v>100</x:v>
      </x:c>
      <x:c r="H261" s="76" t="n">
        <x:v>81.11</x:v>
      </x:c>
      <x:c r="I261" s="76" t="n">
        <x:f>G261*H261</x:f>
        <x:v>8111</x:v>
      </x:c>
      <x:c r="J261" s="76" t="n">
        <x:f>IFERROR(INDEX('Inventory'!$E$2:$E$71,MATCH(E261,'Inventory'!$A$2:$A$71,0)),0)</x:f>
        <x:v>1971</x:v>
      </x:c>
      <x:c r="K261" s="76" t="n">
        <x:f>IFERROR(INDEX('Inventory'!$F$2:$F$71,MATCH(E261,'Inventory'!$A$2:$A$71,0)),0)</x:f>
        <x:v>1061</x:v>
      </x:c>
      <x:c r="L261" s="76" t="n">
        <x:f>SUMIFS('Open_POs'!$D$2:$D$26,'Open_POs'!$B$2:$B$26,E261,'Open_POs'!$E$2:$E$26,"&lt;="&amp;B261)</x:f>
        <x:v>0</x:v>
      </x:c>
      <x:c r="M261" s="76" t="n">
        <x:f>J261+L261</x:f>
        <x:v>1971</x:v>
      </x:c>
      <x:c r="N261" s="76" t="n">
        <x:f>SUMIFS($I$2:I261,$E$2:E261,E261)</x:f>
        <x:v>33144.4</x:v>
      </x:c>
      <x:c r="O261" s="76" t="n">
        <x:f>M261-N261</x:f>
        <x:v>-31173.4</x:v>
      </x:c>
      <x:c r="P261" s="71" t="str">
        <x:f>IF(O261&lt;0,"SHORT",IF(O261&lt;K261,"BELOW TARGET","COVERED"))</x:f>
        <x:v>SHORT</x:v>
      </x:c>
      <x:c r="Q261" s="63" t="str">
        <x:f>IF(AND(P261="SHORT",COUNTIFS($E$2:E261,E261,$P$2:P261,"SHORT")=1),B261,"")</x:f>
      </x:c>
    </x:row>
    <x:row r="262" ht="15" customHeight="1">
      <x:c r="A262" s="71" t="str">
        <x:v>SO-26077</x:v>
      </x:c>
      <x:c r="B262" s="75" t="n">
        <x:v>46275</x:v>
      </x:c>
      <x:c r="C262" s="71" t="str">
        <x:v>High</x:v>
      </x:c>
      <x:c r="D262" s="71" t="str">
        <x:v>FG-013</x:v>
      </x:c>
      <x:c r="E262" s="71" t="str">
        <x:v>RM-052</x:v>
      </x:c>
      <x:c r="F262" s="71" t="str">
        <x:v>Pigment 052</x:v>
      </x:c>
      <x:c r="G262" s="76" t="n">
        <x:v>100</x:v>
      </x:c>
      <x:c r="H262" s="76" t="n">
        <x:v>52.29</x:v>
      </x:c>
      <x:c r="I262" s="76" t="n">
        <x:f>G262*H262</x:f>
        <x:v>5229</x:v>
      </x:c>
      <x:c r="J262" s="76" t="n">
        <x:f>IFERROR(INDEX('Inventory'!$E$2:$E$71,MATCH(E262,'Inventory'!$A$2:$A$71,0)),0)</x:f>
        <x:v>6374</x:v>
      </x:c>
      <x:c r="K262" s="76" t="n">
        <x:f>IFERROR(INDEX('Inventory'!$F$2:$F$71,MATCH(E262,'Inventory'!$A$2:$A$71,0)),0)</x:f>
        <x:v>949</x:v>
      </x:c>
      <x:c r="L262" s="76" t="n">
        <x:f>SUMIFS('Open_POs'!$D$2:$D$26,'Open_POs'!$B$2:$B$26,E262,'Open_POs'!$E$2:$E$26,"&lt;="&amp;B262)</x:f>
        <x:v>1000</x:v>
      </x:c>
      <x:c r="M262" s="76" t="n">
        <x:f>J262+L262</x:f>
        <x:v>7374</x:v>
      </x:c>
      <x:c r="N262" s="76" t="n">
        <x:f>SUMIFS($I$2:I262,$E$2:E262,E262)</x:f>
        <x:v>14688.8</x:v>
      </x:c>
      <x:c r="O262" s="76" t="n">
        <x:f>M262-N262</x:f>
        <x:v>-7314.799999999999</x:v>
      </x:c>
      <x:c r="P262" s="71" t="str">
        <x:f>IF(O262&lt;0,"SHORT",IF(O262&lt;K262,"BELOW TARGET","COVERED"))</x:f>
        <x:v>SHORT</x:v>
      </x:c>
      <x:c r="Q262" s="63" t="str">
        <x:f>IF(AND(P262="SHORT",COUNTIFS($E$2:E262,E262,$P$2:P262,"SHORT")=1),B262,"")</x:f>
      </x:c>
    </x:row>
    <x:row r="263" ht="15" customHeight="1">
      <x:c r="A263" s="71" t="str">
        <x:v>SO-26077</x:v>
      </x:c>
      <x:c r="B263" s="75" t="n">
        <x:v>46275</x:v>
      </x:c>
      <x:c r="C263" s="71" t="str">
        <x:v>High</x:v>
      </x:c>
      <x:c r="D263" s="71" t="str">
        <x:v>FG-013</x:v>
      </x:c>
      <x:c r="E263" s="71" t="str">
        <x:v>RM-058</x:v>
      </x:c>
      <x:c r="F263" s="71" t="str">
        <x:v>Filler 058</x:v>
      </x:c>
      <x:c r="G263" s="76" t="n">
        <x:v>100</x:v>
      </x:c>
      <x:c r="H263" s="76" t="n">
        <x:v>57.05</x:v>
      </x:c>
      <x:c r="I263" s="76" t="n">
        <x:f>G263*H263</x:f>
        <x:v>5705</x:v>
      </x:c>
      <x:c r="J263" s="76" t="n">
        <x:f>IFERROR(INDEX('Inventory'!$E$2:$E$71,MATCH(E263,'Inventory'!$A$2:$A$71,0)),0)</x:f>
        <x:v>9929</x:v>
      </x:c>
      <x:c r="K263" s="76" t="n">
        <x:f>IFERROR(INDEX('Inventory'!$F$2:$F$71,MATCH(E263,'Inventory'!$A$2:$A$71,0)),0)</x:f>
        <x:v>701</x:v>
      </x:c>
      <x:c r="L263" s="76" t="n">
        <x:f>SUMIFS('Open_POs'!$D$2:$D$26,'Open_POs'!$B$2:$B$26,E263,'Open_POs'!$E$2:$E$26,"&lt;="&amp;B263)</x:f>
        <x:v>0</x:v>
      </x:c>
      <x:c r="M263" s="76" t="n">
        <x:f>J263+L263</x:f>
        <x:v>9929</x:v>
      </x:c>
      <x:c r="N263" s="76" t="n">
        <x:f>SUMIFS($I$2:I263,$E$2:E263,E263)</x:f>
        <x:v>43874.3</x:v>
      </x:c>
      <x:c r="O263" s="76" t="n">
        <x:f>M263-N263</x:f>
        <x:v>-33945.3</x:v>
      </x:c>
      <x:c r="P263" s="71" t="str">
        <x:f>IF(O263&lt;0,"SHORT",IF(O263&lt;K263,"BELOW TARGET","COVERED"))</x:f>
        <x:v>SHORT</x:v>
      </x:c>
      <x:c r="Q263" s="63" t="str">
        <x:f>IF(AND(P263="SHORT",COUNTIFS($E$2:E263,E263,$P$2:P263,"SHORT")=1),B263,"")</x:f>
      </x:c>
    </x:row>
    <x:row r="264" ht="15" customHeight="1">
      <x:c r="A264" s="71" t="str">
        <x:v>SO-26034</x:v>
      </x:c>
      <x:c r="B264" s="75" t="n">
        <x:v>46275</x:v>
      </x:c>
      <x:c r="C264" s="71" t="str">
        <x:v>Normal</x:v>
      </x:c>
      <x:c r="D264" s="71" t="str">
        <x:v>FG-001</x:v>
      </x:c>
      <x:c r="E264" s="71" t="str">
        <x:v>RM-008</x:v>
      </x:c>
      <x:c r="F264" s="71" t="str">
        <x:v>Filler 008</x:v>
      </x:c>
      <x:c r="G264" s="76" t="n">
        <x:v>10</x:v>
      </x:c>
      <x:c r="H264" s="76" t="n">
        <x:v>50.81</x:v>
      </x:c>
      <x:c r="I264" s="76" t="n">
        <x:f>G264*H264</x:f>
        <x:v>508.1</x:v>
      </x:c>
      <x:c r="J264" s="76" t="n">
        <x:f>IFERROR(INDEX('Inventory'!$E$2:$E$71,MATCH(E264,'Inventory'!$A$2:$A$71,0)),0)</x:f>
        <x:v>430</x:v>
      </x:c>
      <x:c r="K264" s="76" t="n">
        <x:f>IFERROR(INDEX('Inventory'!$F$2:$F$71,MATCH(E264,'Inventory'!$A$2:$A$71,0)),0)</x:f>
        <x:v>1037</x:v>
      </x:c>
      <x:c r="L264" s="76" t="n">
        <x:f>SUMIFS('Open_POs'!$D$2:$D$26,'Open_POs'!$B$2:$B$26,E264,'Open_POs'!$E$2:$E$26,"&lt;="&amp;B264)</x:f>
        <x:v>0</x:v>
      </x:c>
      <x:c r="M264" s="76" t="n">
        <x:f>J264+L264</x:f>
        <x:v>430</x:v>
      </x:c>
      <x:c r="N264" s="76" t="n">
        <x:f>SUMIFS($I$2:I264,$E$2:E264,E264)</x:f>
        <x:v>14433</x:v>
      </x:c>
      <x:c r="O264" s="76" t="n">
        <x:f>M264-N264</x:f>
        <x:v>-14003</x:v>
      </x:c>
      <x:c r="P264" s="71" t="str">
        <x:f>IF(O264&lt;0,"SHORT",IF(O264&lt;K264,"BELOW TARGET","COVERED"))</x:f>
        <x:v>SHORT</x:v>
      </x:c>
      <x:c r="Q264" s="63" t="str">
        <x:f>IF(AND(P264="SHORT",COUNTIFS($E$2:E264,E264,$P$2:P264,"SHORT")=1),B264,"")</x:f>
      </x:c>
    </x:row>
    <x:row r="265" ht="15" customHeight="1">
      <x:c r="A265" s="71" t="str">
        <x:v>SO-26034</x:v>
      </x:c>
      <x:c r="B265" s="75" t="n">
        <x:v>46275</x:v>
      </x:c>
      <x:c r="C265" s="71" t="str">
        <x:v>Normal</x:v>
      </x:c>
      <x:c r="D265" s="71" t="str">
        <x:v>FG-001</x:v>
      </x:c>
      <x:c r="E265" s="71" t="str">
        <x:v>RM-025</x:v>
      </x:c>
      <x:c r="F265" s="71" t="str">
        <x:v>Packaging 025</x:v>
      </x:c>
      <x:c r="G265" s="76" t="n">
        <x:v>10</x:v>
      </x:c>
      <x:c r="H265" s="76" t="n">
        <x:v>15.13</x:v>
      </x:c>
      <x:c r="I265" s="76" t="n">
        <x:f>G265*H265</x:f>
        <x:v>151.3</x:v>
      </x:c>
      <x:c r="J265" s="76" t="n">
        <x:f>IFERROR(INDEX('Inventory'!$E$2:$E$71,MATCH(E265,'Inventory'!$A$2:$A$71,0)),0)</x:f>
        <x:v>2469</x:v>
      </x:c>
      <x:c r="K265" s="76" t="n">
        <x:f>IFERROR(INDEX('Inventory'!$F$2:$F$71,MATCH(E265,'Inventory'!$A$2:$A$71,0)),0)</x:f>
        <x:v>229</x:v>
      </x:c>
      <x:c r="L265" s="76" t="n">
        <x:f>SUMIFS('Open_POs'!$D$2:$D$26,'Open_POs'!$B$2:$B$26,E265,'Open_POs'!$E$2:$E$26,"&lt;="&amp;B265)</x:f>
        <x:v>10000</x:v>
      </x:c>
      <x:c r="M265" s="76" t="n">
        <x:f>J265+L265</x:f>
        <x:v>12469</x:v>
      </x:c>
      <x:c r="N265" s="76" t="n">
        <x:f>SUMIFS($I$2:I265,$E$2:E265,E265)</x:f>
        <x:v>24291.299999999996</x:v>
      </x:c>
      <x:c r="O265" s="76" t="n">
        <x:f>M265-N265</x:f>
        <x:v>-11822.299999999996</x:v>
      </x:c>
      <x:c r="P265" s="71" t="str">
        <x:f>IF(O265&lt;0,"SHORT",IF(O265&lt;K265,"BELOW TARGET","COVERED"))</x:f>
        <x:v>SHORT</x:v>
      </x:c>
      <x:c r="Q265" s="63" t="str">
        <x:f>IF(AND(P265="SHORT",COUNTIFS($E$2:E265,E265,$P$2:P265,"SHORT")=1),B265,"")</x:f>
      </x:c>
    </x:row>
    <x:row r="266" ht="15" customHeight="1">
      <x:c r="A266" s="71" t="str">
        <x:v>SO-26034</x:v>
      </x:c>
      <x:c r="B266" s="75" t="n">
        <x:v>46275</x:v>
      </x:c>
      <x:c r="C266" s="71" t="str">
        <x:v>Normal</x:v>
      </x:c>
      <x:c r="D266" s="71" t="str">
        <x:v>FG-001</x:v>
      </x:c>
      <x:c r="E266" s="71" t="str">
        <x:v>RM-036</x:v>
      </x:c>
      <x:c r="F266" s="71" t="str">
        <x:v>Resin 036</x:v>
      </x:c>
      <x:c r="G266" s="76" t="n">
        <x:v>10</x:v>
      </x:c>
      <x:c r="H266" s="76" t="n">
        <x:v>37.95</x:v>
      </x:c>
      <x:c r="I266" s="76" t="n">
        <x:f>G266*H266</x:f>
        <x:v>379.5</x:v>
      </x:c>
      <x:c r="J266" s="76" t="n">
        <x:f>IFERROR(INDEX('Inventory'!$E$2:$E$71,MATCH(E266,'Inventory'!$A$2:$A$71,0)),0)</x:f>
        <x:v>12427</x:v>
      </x:c>
      <x:c r="K266" s="76" t="n">
        <x:f>IFERROR(INDEX('Inventory'!$F$2:$F$71,MATCH(E266,'Inventory'!$A$2:$A$71,0)),0)</x:f>
        <x:v>1016</x:v>
      </x:c>
      <x:c r="L266" s="76" t="n">
        <x:f>SUMIFS('Open_POs'!$D$2:$D$26,'Open_POs'!$B$2:$B$26,E266,'Open_POs'!$E$2:$E$26,"&lt;="&amp;B266)</x:f>
        <x:v>1000</x:v>
      </x:c>
      <x:c r="M266" s="76" t="n">
        <x:f>J266+L266</x:f>
        <x:v>13427</x:v>
      </x:c>
      <x:c r="N266" s="76" t="n">
        <x:f>SUMIFS($I$2:I266,$E$2:E266,E266)</x:f>
        <x:v>14191.300000000001</x:v>
      </x:c>
      <x:c r="O266" s="76" t="n">
        <x:f>M266-N266</x:f>
        <x:v>-764.3000000000011</x:v>
      </x:c>
      <x:c r="P266" s="71" t="str">
        <x:f>IF(O266&lt;0,"SHORT",IF(O266&lt;K266,"BELOW TARGET","COVERED"))</x:f>
        <x:v>SHORT</x:v>
      </x:c>
      <x:c r="Q266" s="63" t="str">
        <x:f>IF(AND(P266="SHORT",COUNTIFS($E$2:E266,E266,$P$2:P266,"SHORT")=1),B266,"")</x:f>
      </x:c>
    </x:row>
    <x:row r="267" ht="15" customHeight="1">
      <x:c r="A267" s="71" t="str">
        <x:v>SO-26034</x:v>
      </x:c>
      <x:c r="B267" s="75" t="n">
        <x:v>46275</x:v>
      </x:c>
      <x:c r="C267" s="71" t="str">
        <x:v>Normal</x:v>
      </x:c>
      <x:c r="D267" s="71" t="str">
        <x:v>FG-001</x:v>
      </x:c>
      <x:c r="E267" s="71" t="str">
        <x:v>RM-048</x:v>
      </x:c>
      <x:c r="F267" s="71" t="str">
        <x:v>Filler 048</x:v>
      </x:c>
      <x:c r="G267" s="76" t="n">
        <x:v>10</x:v>
      </x:c>
      <x:c r="H267" s="76" t="n">
        <x:v>11.19</x:v>
      </x:c>
      <x:c r="I267" s="76" t="n">
        <x:f>G267*H267</x:f>
        <x:v>111.89999999999999</x:v>
      </x:c>
      <x:c r="J267" s="76" t="n">
        <x:f>IFERROR(INDEX('Inventory'!$E$2:$E$71,MATCH(E267,'Inventory'!$A$2:$A$71,0)),0)</x:f>
        <x:v>637</x:v>
      </x:c>
      <x:c r="K267" s="76" t="n">
        <x:f>IFERROR(INDEX('Inventory'!$F$2:$F$71,MATCH(E267,'Inventory'!$A$2:$A$71,0)),0)</x:f>
        <x:v>888</x:v>
      </x:c>
      <x:c r="L267" s="76" t="n">
        <x:f>SUMIFS('Open_POs'!$D$2:$D$26,'Open_POs'!$B$2:$B$26,E267,'Open_POs'!$E$2:$E$26,"&lt;="&amp;B267)</x:f>
        <x:v>1000</x:v>
      </x:c>
      <x:c r="M267" s="76" t="n">
        <x:f>J267+L267</x:f>
        <x:v>1637</x:v>
      </x:c>
      <x:c r="N267" s="76" t="n">
        <x:f>SUMIFS($I$2:I267,$E$2:E267,E267)</x:f>
        <x:v>7980.399999999999</x:v>
      </x:c>
      <x:c r="O267" s="76" t="n">
        <x:f>M267-N267</x:f>
        <x:v>-6343.399999999999</x:v>
      </x:c>
      <x:c r="P267" s="71" t="str">
        <x:f>IF(O267&lt;0,"SHORT",IF(O267&lt;K267,"BELOW TARGET","COVERED"))</x:f>
        <x:v>SHORT</x:v>
      </x:c>
      <x:c r="Q267" s="63" t="str">
        <x:f>IF(AND(P267="SHORT",COUNTIFS($E$2:E267,E267,$P$2:P267,"SHORT")=1),B267,"")</x:f>
      </x:c>
    </x:row>
    <x:row r="268" ht="15" customHeight="1">
      <x:c r="A268" s="71" t="str">
        <x:v>SO-26034</x:v>
      </x:c>
      <x:c r="B268" s="75" t="n">
        <x:v>46275</x:v>
      </x:c>
      <x:c r="C268" s="71" t="str">
        <x:v>Normal</x:v>
      </x:c>
      <x:c r="D268" s="71" t="str">
        <x:v>FG-001</x:v>
      </x:c>
      <x:c r="E268" s="71" t="str">
        <x:v>RM-066</x:v>
      </x:c>
      <x:c r="F268" s="71" t="str">
        <x:v>Resin 066</x:v>
      </x:c>
      <x:c r="G268" s="76" t="n">
        <x:v>10</x:v>
      </x:c>
      <x:c r="H268" s="76" t="n">
        <x:v>38.59</x:v>
      </x:c>
      <x:c r="I268" s="76" t="n">
        <x:f>G268*H268</x:f>
        <x:v>385.90000000000003</x:v>
      </x:c>
      <x:c r="J268" s="76" t="n">
        <x:f>IFERROR(INDEX('Inventory'!$E$2:$E$71,MATCH(E268,'Inventory'!$A$2:$A$71,0)),0)</x:f>
        <x:v>10876</x:v>
      </x:c>
      <x:c r="K268" s="76" t="n">
        <x:f>IFERROR(INDEX('Inventory'!$F$2:$F$71,MATCH(E268,'Inventory'!$A$2:$A$71,0)),0)</x:f>
        <x:v>567</x:v>
      </x:c>
      <x:c r="L268" s="76" t="n">
        <x:f>SUMIFS('Open_POs'!$D$2:$D$26,'Open_POs'!$B$2:$B$26,E268,'Open_POs'!$E$2:$E$26,"&lt;="&amp;B268)</x:f>
        <x:v>0</x:v>
      </x:c>
      <x:c r="M268" s="76" t="n">
        <x:f>J268+L268</x:f>
        <x:v>10876</x:v>
      </x:c>
      <x:c r="N268" s="76" t="n">
        <x:f>SUMIFS($I$2:I268,$E$2:E268,E268)</x:f>
        <x:v>4970.7</x:v>
      </x:c>
      <x:c r="O268" s="76" t="n">
        <x:f>M268-N268</x:f>
        <x:v>5905.3</x:v>
      </x:c>
      <x:c r="P268" s="71" t="str">
        <x:f>IF(O268&lt;0,"SHORT",IF(O268&lt;K268,"BELOW TARGET","COVERED"))</x:f>
        <x:v>COVERED</x:v>
      </x:c>
      <x:c r="Q268" s="63" t="str">
        <x:f>IF(AND(P268="SHORT",COUNTIFS($E$2:E268,E268,$P$2:P268,"SHORT")=1),B268,"")</x:f>
      </x:c>
    </x:row>
    <x:row r="269" ht="15" customHeight="1">
      <x:c r="A269" s="71" t="str">
        <x:v>SO-26045</x:v>
      </x:c>
      <x:c r="B269" s="75" t="n">
        <x:v>46275</x:v>
      </x:c>
      <x:c r="C269" s="71" t="str">
        <x:v>Normal</x:v>
      </x:c>
      <x:c r="D269" s="71" t="str">
        <x:v>FG-021</x:v>
      </x:c>
      <x:c r="E269" s="71" t="str">
        <x:v>RM-001</x:v>
      </x:c>
      <x:c r="F269" s="71" t="str">
        <x:v>Resin 001</x:v>
      </x:c>
      <x:c r="G269" s="76" t="n">
        <x:v>10</x:v>
      </x:c>
      <x:c r="H269" s="76" t="n">
        <x:v>56.97</x:v>
      </x:c>
      <x:c r="I269" s="76" t="n">
        <x:f>G269*H269</x:f>
        <x:v>569.7</x:v>
      </x:c>
      <x:c r="J269" s="76" t="n">
        <x:f>IFERROR(INDEX('Inventory'!$E$2:$E$71,MATCH(E269,'Inventory'!$A$2:$A$71,0)),0)</x:f>
        <x:v>9214</x:v>
      </x:c>
      <x:c r="K269" s="76" t="n">
        <x:f>IFERROR(INDEX('Inventory'!$F$2:$F$71,MATCH(E269,'Inventory'!$A$2:$A$71,0)),0)</x:f>
        <x:v>713</x:v>
      </x:c>
      <x:c r="L269" s="76" t="n">
        <x:f>SUMIFS('Open_POs'!$D$2:$D$26,'Open_POs'!$B$2:$B$26,E269,'Open_POs'!$E$2:$E$26,"&lt;="&amp;B269)</x:f>
        <x:v>0</x:v>
      </x:c>
      <x:c r="M269" s="76" t="n">
        <x:f>J269+L269</x:f>
        <x:v>9214</x:v>
      </x:c>
      <x:c r="N269" s="76" t="n">
        <x:f>SUMIFS($I$2:I269,$E$2:E269,E269)</x:f>
        <x:v>18605.4</x:v>
      </x:c>
      <x:c r="O269" s="76" t="n">
        <x:f>M269-N269</x:f>
        <x:v>-9391.400000000001</x:v>
      </x:c>
      <x:c r="P269" s="71" t="str">
        <x:f>IF(O269&lt;0,"SHORT",IF(O269&lt;K269,"BELOW TARGET","COVERED"))</x:f>
        <x:v>SHORT</x:v>
      </x:c>
      <x:c r="Q269" s="63" t="str">
        <x:f>IF(AND(P269="SHORT",COUNTIFS($E$2:E269,E269,$P$2:P269,"SHORT")=1),B269,"")</x:f>
      </x:c>
    </x:row>
    <x:row r="270" ht="15" customHeight="1">
      <x:c r="A270" s="71" t="str">
        <x:v>SO-26045</x:v>
      </x:c>
      <x:c r="B270" s="75" t="n">
        <x:v>46275</x:v>
      </x:c>
      <x:c r="C270" s="71" t="str">
        <x:v>Normal</x:v>
      </x:c>
      <x:c r="D270" s="71" t="str">
        <x:v>FG-021</x:v>
      </x:c>
      <x:c r="E270" s="71" t="str">
        <x:v>RM-013</x:v>
      </x:c>
      <x:c r="F270" s="71" t="str">
        <x:v>Filler 013</x:v>
      </x:c>
      <x:c r="G270" s="76" t="n">
        <x:v>10</x:v>
      </x:c>
      <x:c r="H270" s="76" t="n">
        <x:v>14.71</x:v>
      </x:c>
      <x:c r="I270" s="76" t="n">
        <x:f>G270*H270</x:f>
        <x:v>147.10000000000002</x:v>
      </x:c>
      <x:c r="J270" s="76" t="n">
        <x:f>IFERROR(INDEX('Inventory'!$E$2:$E$71,MATCH(E270,'Inventory'!$A$2:$A$71,0)),0)</x:f>
        <x:v>16230</x:v>
      </x:c>
      <x:c r="K270" s="76" t="n">
        <x:f>IFERROR(INDEX('Inventory'!$F$2:$F$71,MATCH(E270,'Inventory'!$A$2:$A$71,0)),0)</x:f>
        <x:v>1037</x:v>
      </x:c>
      <x:c r="L270" s="76" t="n">
        <x:f>SUMIFS('Open_POs'!$D$2:$D$26,'Open_POs'!$B$2:$B$26,E270,'Open_POs'!$E$2:$E$26,"&lt;="&amp;B270)</x:f>
        <x:v>0</x:v>
      </x:c>
      <x:c r="M270" s="76" t="n">
        <x:f>J270+L270</x:f>
        <x:v>16230</x:v>
      </x:c>
      <x:c r="N270" s="76" t="n">
        <x:f>SUMIFS($I$2:I270,$E$2:E270,E270)</x:f>
        <x:v>6655.400000000001</x:v>
      </x:c>
      <x:c r="O270" s="76" t="n">
        <x:f>M270-N270</x:f>
        <x:v>9574.599999999999</x:v>
      </x:c>
      <x:c r="P270" s="71" t="str">
        <x:f>IF(O270&lt;0,"SHORT",IF(O270&lt;K270,"BELOW TARGET","COVERED"))</x:f>
        <x:v>COVERED</x:v>
      </x:c>
      <x:c r="Q270" s="63" t="str">
        <x:f>IF(AND(P270="SHORT",COUNTIFS($E$2:E270,E270,$P$2:P270,"SHORT")=1),B270,"")</x:f>
      </x:c>
    </x:row>
    <x:row r="271" ht="15" customHeight="1">
      <x:c r="A271" s="71" t="str">
        <x:v>SO-26045</x:v>
      </x:c>
      <x:c r="B271" s="75" t="n">
        <x:v>46275</x:v>
      </x:c>
      <x:c r="C271" s="71" t="str">
        <x:v>Normal</x:v>
      </x:c>
      <x:c r="D271" s="71" t="str">
        <x:v>FG-021</x:v>
      </x:c>
      <x:c r="E271" s="71" t="str">
        <x:v>RM-018</x:v>
      </x:c>
      <x:c r="F271" s="71" t="str">
        <x:v>Filler 018</x:v>
      </x:c>
      <x:c r="G271" s="76" t="n">
        <x:v>10</x:v>
      </x:c>
      <x:c r="H271" s="76" t="n">
        <x:v>37.67</x:v>
      </x:c>
      <x:c r="I271" s="76" t="n">
        <x:f>G271*H271</x:f>
        <x:v>376.70000000000005</x:v>
      </x:c>
      <x:c r="J271" s="76" t="n">
        <x:f>IFERROR(INDEX('Inventory'!$E$2:$E$71,MATCH(E271,'Inventory'!$A$2:$A$71,0)),0)</x:f>
        <x:v>17607</x:v>
      </x:c>
      <x:c r="K271" s="76" t="n">
        <x:f>IFERROR(INDEX('Inventory'!$F$2:$F$71,MATCH(E271,'Inventory'!$A$2:$A$71,0)),0)</x:f>
        <x:v>302</x:v>
      </x:c>
      <x:c r="L271" s="76" t="n">
        <x:f>SUMIFS('Open_POs'!$D$2:$D$26,'Open_POs'!$B$2:$B$26,E271,'Open_POs'!$E$2:$E$26,"&lt;="&amp;B271)</x:f>
        <x:v>10000</x:v>
      </x:c>
      <x:c r="M271" s="76" t="n">
        <x:f>J271+L271</x:f>
        <x:v>27607</x:v>
      </x:c>
      <x:c r="N271" s="76" t="n">
        <x:f>SUMIFS($I$2:I271,$E$2:E271,E271)</x:f>
        <x:v>10705.400000000001</x:v>
      </x:c>
      <x:c r="O271" s="76" t="n">
        <x:f>M271-N271</x:f>
        <x:v>16901.6</x:v>
      </x:c>
      <x:c r="P271" s="71" t="str">
        <x:f>IF(O271&lt;0,"SHORT",IF(O271&lt;K271,"BELOW TARGET","COVERED"))</x:f>
        <x:v>COVERED</x:v>
      </x:c>
      <x:c r="Q271" s="63" t="str">
        <x:f>IF(AND(P271="SHORT",COUNTIFS($E$2:E271,E271,$P$2:P271,"SHORT")=1),B271,"")</x:f>
      </x:c>
    </x:row>
    <x:row r="272" ht="15" customHeight="1">
      <x:c r="A272" s="71" t="str">
        <x:v>SO-26045</x:v>
      </x:c>
      <x:c r="B272" s="75" t="n">
        <x:v>46275</x:v>
      </x:c>
      <x:c r="C272" s="71" t="str">
        <x:v>Normal</x:v>
      </x:c>
      <x:c r="D272" s="71" t="str">
        <x:v>FG-021</x:v>
      </x:c>
      <x:c r="E272" s="71" t="str">
        <x:v>RM-020</x:v>
      </x:c>
      <x:c r="F272" s="71" t="str">
        <x:v>Packaging 020</x:v>
      </x:c>
      <x:c r="G272" s="76" t="n">
        <x:v>10</x:v>
      </x:c>
      <x:c r="H272" s="76" t="n">
        <x:v>51.42</x:v>
      </x:c>
      <x:c r="I272" s="76" t="n">
        <x:f>G272*H272</x:f>
        <x:v>514.2</x:v>
      </x:c>
      <x:c r="J272" s="76" t="n">
        <x:f>IFERROR(INDEX('Inventory'!$E$2:$E$71,MATCH(E272,'Inventory'!$A$2:$A$71,0)),0)</x:f>
        <x:v>10528</x:v>
      </x:c>
      <x:c r="K272" s="76" t="n">
        <x:f>IFERROR(INDEX('Inventory'!$F$2:$F$71,MATCH(E272,'Inventory'!$A$2:$A$71,0)),0)</x:f>
        <x:v>881</x:v>
      </x:c>
      <x:c r="L272" s="76" t="n">
        <x:f>SUMIFS('Open_POs'!$D$2:$D$26,'Open_POs'!$B$2:$B$26,E272,'Open_POs'!$E$2:$E$26,"&lt;="&amp;B272)</x:f>
        <x:v>2500</x:v>
      </x:c>
      <x:c r="M272" s="76" t="n">
        <x:f>J272+L272</x:f>
        <x:v>13028</x:v>
      </x:c>
      <x:c r="N272" s="76" t="n">
        <x:f>SUMIFS($I$2:I272,$E$2:E272,E272)</x:f>
        <x:v>19926.4</x:v>
      </x:c>
      <x:c r="O272" s="76" t="n">
        <x:f>M272-N272</x:f>
        <x:v>-6898.4000000000015</x:v>
      </x:c>
      <x:c r="P272" s="71" t="str">
        <x:f>IF(O272&lt;0,"SHORT",IF(O272&lt;K272,"BELOW TARGET","COVERED"))</x:f>
        <x:v>SHORT</x:v>
      </x:c>
      <x:c r="Q272" s="63" t="str">
        <x:f>IF(AND(P272="SHORT",COUNTIFS($E$2:E272,E272,$P$2:P272,"SHORT")=1),B272,"")</x:f>
      </x:c>
    </x:row>
    <x:row r="273" ht="15" customHeight="1">
      <x:c r="A273" s="71" t="str">
        <x:v>SO-26045</x:v>
      </x:c>
      <x:c r="B273" s="75" t="n">
        <x:v>46275</x:v>
      </x:c>
      <x:c r="C273" s="71" t="str">
        <x:v>Normal</x:v>
      </x:c>
      <x:c r="D273" s="71" t="str">
        <x:v>FG-021</x:v>
      </x:c>
      <x:c r="E273" s="71" t="str">
        <x:v>RM-044</x:v>
      </x:c>
      <x:c r="F273" s="71" t="str">
        <x:v>Additive 044</x:v>
      </x:c>
      <x:c r="G273" s="76" t="n">
        <x:v>10</x:v>
      </x:c>
      <x:c r="H273" s="76" t="n">
        <x:v>70.82</x:v>
      </x:c>
      <x:c r="I273" s="76" t="n">
        <x:f>G273*H273</x:f>
        <x:v>708.1999999999999</x:v>
      </x:c>
      <x:c r="J273" s="76" t="n">
        <x:f>IFERROR(INDEX('Inventory'!$E$2:$E$71,MATCH(E273,'Inventory'!$A$2:$A$71,0)),0)</x:f>
        <x:v>10361</x:v>
      </x:c>
      <x:c r="K273" s="76" t="n">
        <x:f>IFERROR(INDEX('Inventory'!$F$2:$F$71,MATCH(E273,'Inventory'!$A$2:$A$71,0)),0)</x:f>
        <x:v>571</x:v>
      </x:c>
      <x:c r="L273" s="76" t="n">
        <x:f>SUMIFS('Open_POs'!$D$2:$D$26,'Open_POs'!$B$2:$B$26,E273,'Open_POs'!$E$2:$E$26,"&lt;="&amp;B273)</x:f>
        <x:v>0</x:v>
      </x:c>
      <x:c r="M273" s="76" t="n">
        <x:f>J273+L273</x:f>
        <x:v>10361</x:v>
      </x:c>
      <x:c r="N273" s="76" t="n">
        <x:f>SUMIFS($I$2:I273,$E$2:E273,E273)</x:f>
        <x:v>16503.6</x:v>
      </x:c>
      <x:c r="O273" s="76" t="n">
        <x:f>M273-N273</x:f>
        <x:v>-6142.5999999999985</x:v>
      </x:c>
      <x:c r="P273" s="71" t="str">
        <x:f>IF(O273&lt;0,"SHORT",IF(O273&lt;K273,"BELOW TARGET","COVERED"))</x:f>
        <x:v>SHORT</x:v>
      </x:c>
      <x:c r="Q273" s="63" t="str">
        <x:f>IF(AND(P273="SHORT",COUNTIFS($E$2:E273,E273,$P$2:P273,"SHORT")=1),B273,"")</x:f>
      </x:c>
    </x:row>
    <x:row r="274" ht="15" customHeight="1">
      <x:c r="A274" s="71" t="str">
        <x:v>SO-26045</x:v>
      </x:c>
      <x:c r="B274" s="75" t="n">
        <x:v>46275</x:v>
      </x:c>
      <x:c r="C274" s="71" t="str">
        <x:v>Normal</x:v>
      </x:c>
      <x:c r="D274" s="71" t="str">
        <x:v>FG-021</x:v>
      </x:c>
      <x:c r="E274" s="71" t="str">
        <x:v>RM-046</x:v>
      </x:c>
      <x:c r="F274" s="71" t="str">
        <x:v>Resin 046</x:v>
      </x:c>
      <x:c r="G274" s="76" t="n">
        <x:v>10</x:v>
      </x:c>
      <x:c r="H274" s="76" t="n">
        <x:v>25.17</x:v>
      </x:c>
      <x:c r="I274" s="76" t="n">
        <x:f>G274*H274</x:f>
        <x:v>251.70000000000002</x:v>
      </x:c>
      <x:c r="J274" s="76" t="n">
        <x:f>IFERROR(INDEX('Inventory'!$E$2:$E$71,MATCH(E274,'Inventory'!$A$2:$A$71,0)),0)</x:f>
        <x:v>15936</x:v>
      </x:c>
      <x:c r="K274" s="76" t="n">
        <x:f>IFERROR(INDEX('Inventory'!$F$2:$F$71,MATCH(E274,'Inventory'!$A$2:$A$71,0)),0)</x:f>
        <x:v>991</x:v>
      </x:c>
      <x:c r="L274" s="76" t="n">
        <x:f>SUMIFS('Open_POs'!$D$2:$D$26,'Open_POs'!$B$2:$B$26,E274,'Open_POs'!$E$2:$E$26,"&lt;="&amp;B274)</x:f>
        <x:v>0</x:v>
      </x:c>
      <x:c r="M274" s="76" t="n">
        <x:f>J274+L274</x:f>
        <x:v>15936</x:v>
      </x:c>
      <x:c r="N274" s="76" t="n">
        <x:f>SUMIFS($I$2:I274,$E$2:E274,E274)</x:f>
        <x:v>11412.600000000002</x:v>
      </x:c>
      <x:c r="O274" s="76" t="n">
        <x:f>M274-N274</x:f>
        <x:v>4523.399999999998</x:v>
      </x:c>
      <x:c r="P274" s="71" t="str">
        <x:f>IF(O274&lt;0,"SHORT",IF(O274&lt;K274,"BELOW TARGET","COVERED"))</x:f>
        <x:v>COVERED</x:v>
      </x:c>
      <x:c r="Q274" s="63" t="str">
        <x:f>IF(AND(P274="SHORT",COUNTIFS($E$2:E274,E274,$P$2:P274,"SHORT")=1),B274,"")</x:f>
      </x:c>
    </x:row>
    <x:row r="275" ht="15" customHeight="1">
      <x:c r="A275" s="71" t="str">
        <x:v>SO-26045</x:v>
      </x:c>
      <x:c r="B275" s="75" t="n">
        <x:v>46275</x:v>
      </x:c>
      <x:c r="C275" s="71" t="str">
        <x:v>Normal</x:v>
      </x:c>
      <x:c r="D275" s="71" t="str">
        <x:v>FG-021</x:v>
      </x:c>
      <x:c r="E275" s="71" t="str">
        <x:v>RM-063</x:v>
      </x:c>
      <x:c r="F275" s="71" t="str">
        <x:v>Filler 063</x:v>
      </x:c>
      <x:c r="G275" s="76" t="n">
        <x:v>10</x:v>
      </x:c>
      <x:c r="H275" s="76" t="n">
        <x:v>76.56</x:v>
      </x:c>
      <x:c r="I275" s="76" t="n">
        <x:f>G275*H275</x:f>
        <x:v>765.6</x:v>
      </x:c>
      <x:c r="J275" s="76" t="n">
        <x:f>IFERROR(INDEX('Inventory'!$E$2:$E$71,MATCH(E275,'Inventory'!$A$2:$A$71,0)),0)</x:f>
        <x:v>7508</x:v>
      </x:c>
      <x:c r="K275" s="76" t="n">
        <x:f>IFERROR(INDEX('Inventory'!$F$2:$F$71,MATCH(E275,'Inventory'!$A$2:$A$71,0)),0)</x:f>
        <x:v>1090</x:v>
      </x:c>
      <x:c r="L275" s="76" t="n">
        <x:f>SUMIFS('Open_POs'!$D$2:$D$26,'Open_POs'!$B$2:$B$26,E275,'Open_POs'!$E$2:$E$26,"&lt;="&amp;B275)</x:f>
        <x:v>5000</x:v>
      </x:c>
      <x:c r="M275" s="76" t="n">
        <x:f>J275+L275</x:f>
        <x:v>12508</x:v>
      </x:c>
      <x:c r="N275" s="76" t="n">
        <x:f>SUMIFS($I$2:I275,$E$2:E275,E275)</x:f>
        <x:v>48273.4</x:v>
      </x:c>
      <x:c r="O275" s="76" t="n">
        <x:f>M275-N275</x:f>
        <x:v>-35765.4</x:v>
      </x:c>
      <x:c r="P275" s="71" t="str">
        <x:f>IF(O275&lt;0,"SHORT",IF(O275&lt;K275,"BELOW TARGET","COVERED"))</x:f>
        <x:v>SHORT</x:v>
      </x:c>
      <x:c r="Q275" s="63" t="str">
        <x:f>IF(AND(P275="SHORT",COUNTIFS($E$2:E275,E275,$P$2:P275,"SHORT")=1),B275,"")</x:f>
      </x:c>
    </x:row>
    <x:row r="276" ht="15" customHeight="1">
      <x:c r="A276" s="71" t="str">
        <x:v>SO-26052</x:v>
      </x:c>
      <x:c r="B276" s="75" t="n">
        <x:v>46275</x:v>
      </x:c>
      <x:c r="C276" s="71" t="str">
        <x:v>Normal</x:v>
      </x:c>
      <x:c r="D276" s="71" t="str">
        <x:v>FG-004</x:v>
      </x:c>
      <x:c r="E276" s="71" t="str">
        <x:v>RM-007</x:v>
      </x:c>
      <x:c r="F276" s="71" t="str">
        <x:v>Pigment 007</x:v>
      </x:c>
      <x:c r="G276" s="76" t="n">
        <x:v>60</x:v>
      </x:c>
      <x:c r="H276" s="76" t="n">
        <x:v>40.66</x:v>
      </x:c>
      <x:c r="I276" s="76" t="n">
        <x:f>G276*H276</x:f>
        <x:v>2439.6</x:v>
      </x:c>
      <x:c r="J276" s="76" t="n">
        <x:f>IFERROR(INDEX('Inventory'!$E$2:$E$71,MATCH(E276,'Inventory'!$A$2:$A$71,0)),0)</x:f>
        <x:v>9115</x:v>
      </x:c>
      <x:c r="K276" s="76" t="n">
        <x:f>IFERROR(INDEX('Inventory'!$F$2:$F$71,MATCH(E276,'Inventory'!$A$2:$A$71,0)),0)</x:f>
        <x:v>230</x:v>
      </x:c>
      <x:c r="L276" s="76" t="n">
        <x:f>SUMIFS('Open_POs'!$D$2:$D$26,'Open_POs'!$B$2:$B$26,E276,'Open_POs'!$E$2:$E$26,"&lt;="&amp;B276)</x:f>
        <x:v>0</x:v>
      </x:c>
      <x:c r="M276" s="76" t="n">
        <x:f>J276+L276</x:f>
        <x:v>9115</x:v>
      </x:c>
      <x:c r="N276" s="76" t="n">
        <x:f>SUMIFS($I$2:I276,$E$2:E276,E276)</x:f>
        <x:v>10401.599999999999</x:v>
      </x:c>
      <x:c r="O276" s="76" t="n">
        <x:f>M276-N276</x:f>
        <x:v>-1286.5999999999985</x:v>
      </x:c>
      <x:c r="P276" s="71" t="str">
        <x:f>IF(O276&lt;0,"SHORT",IF(O276&lt;K276,"BELOW TARGET","COVERED"))</x:f>
        <x:v>SHORT</x:v>
      </x:c>
      <x:c r="Q276" s="63" t="n">
        <x:f>IF(AND(P276="SHORT",COUNTIFS($E$2:E276,E276,$P$2:P276,"SHORT")=1),B276,"")</x:f>
        <x:v>46275</x:v>
      </x:c>
    </x:row>
    <x:row r="277" ht="15" customHeight="1">
      <x:c r="A277" s="71" t="str">
        <x:v>SO-26052</x:v>
      </x:c>
      <x:c r="B277" s="75" t="n">
        <x:v>46275</x:v>
      </x:c>
      <x:c r="C277" s="71" t="str">
        <x:v>Normal</x:v>
      </x:c>
      <x:c r="D277" s="71" t="str">
        <x:v>FG-004</x:v>
      </x:c>
      <x:c r="E277" s="71" t="str">
        <x:v>RM-010</x:v>
      </x:c>
      <x:c r="F277" s="71" t="str">
        <x:v>Packaging 010</x:v>
      </x:c>
      <x:c r="G277" s="76" t="n">
        <x:v>60</x:v>
      </x:c>
      <x:c r="H277" s="76" t="n">
        <x:v>41.21</x:v>
      </x:c>
      <x:c r="I277" s="76" t="n">
        <x:f>G277*H277</x:f>
        <x:v>2472.6</x:v>
      </x:c>
      <x:c r="J277" s="76" t="n">
        <x:f>IFERROR(INDEX('Inventory'!$E$2:$E$71,MATCH(E277,'Inventory'!$A$2:$A$71,0)),0)</x:f>
        <x:v>14191</x:v>
      </x:c>
      <x:c r="K277" s="76" t="n">
        <x:f>IFERROR(INDEX('Inventory'!$F$2:$F$71,MATCH(E277,'Inventory'!$A$2:$A$71,0)),0)</x:f>
        <x:v>615</x:v>
      </x:c>
      <x:c r="L277" s="76" t="n">
        <x:f>SUMIFS('Open_POs'!$D$2:$D$26,'Open_POs'!$B$2:$B$26,E277,'Open_POs'!$E$2:$E$26,"&lt;="&amp;B277)</x:f>
        <x:v>0</x:v>
      </x:c>
      <x:c r="M277" s="76" t="n">
        <x:f>J277+L277</x:f>
        <x:v>14191</x:v>
      </x:c>
      <x:c r="N277" s="76" t="n">
        <x:f>SUMIFS($I$2:I277,$E$2:E277,E277)</x:f>
        <x:v>34724.100000000006</x:v>
      </x:c>
      <x:c r="O277" s="76" t="n">
        <x:f>M277-N277</x:f>
        <x:v>-20533.100000000006</x:v>
      </x:c>
      <x:c r="P277" s="71" t="str">
        <x:f>IF(O277&lt;0,"SHORT",IF(O277&lt;K277,"BELOW TARGET","COVERED"))</x:f>
        <x:v>SHORT</x:v>
      </x:c>
      <x:c r="Q277" s="63" t="str">
        <x:f>IF(AND(P277="SHORT",COUNTIFS($E$2:E277,E277,$P$2:P277,"SHORT")=1),B277,"")</x:f>
      </x:c>
    </x:row>
    <x:row r="278" ht="15" customHeight="1">
      <x:c r="A278" s="71" t="str">
        <x:v>SO-26052</x:v>
      </x:c>
      <x:c r="B278" s="75" t="n">
        <x:v>46275</x:v>
      </x:c>
      <x:c r="C278" s="71" t="str">
        <x:v>Normal</x:v>
      </x:c>
      <x:c r="D278" s="71" t="str">
        <x:v>FG-004</x:v>
      </x:c>
      <x:c r="E278" s="71" t="str">
        <x:v>RM-013</x:v>
      </x:c>
      <x:c r="F278" s="71" t="str">
        <x:v>Filler 013</x:v>
      </x:c>
      <x:c r="G278" s="76" t="n">
        <x:v>60</x:v>
      </x:c>
      <x:c r="H278" s="76" t="n">
        <x:v>36.5</x:v>
      </x:c>
      <x:c r="I278" s="76" t="n">
        <x:f>G278*H278</x:f>
        <x:v>2190</x:v>
      </x:c>
      <x:c r="J278" s="76" t="n">
        <x:f>IFERROR(INDEX('Inventory'!$E$2:$E$71,MATCH(E278,'Inventory'!$A$2:$A$71,0)),0)</x:f>
        <x:v>16230</x:v>
      </x:c>
      <x:c r="K278" s="76" t="n">
        <x:f>IFERROR(INDEX('Inventory'!$F$2:$F$71,MATCH(E278,'Inventory'!$A$2:$A$71,0)),0)</x:f>
        <x:v>1037</x:v>
      </x:c>
      <x:c r="L278" s="76" t="n">
        <x:f>SUMIFS('Open_POs'!$D$2:$D$26,'Open_POs'!$B$2:$B$26,E278,'Open_POs'!$E$2:$E$26,"&lt;="&amp;B278)</x:f>
        <x:v>0</x:v>
      </x:c>
      <x:c r="M278" s="76" t="n">
        <x:f>J278+L278</x:f>
        <x:v>16230</x:v>
      </x:c>
      <x:c r="N278" s="76" t="n">
        <x:f>SUMIFS($I$2:I278,$E$2:E278,E278)</x:f>
        <x:v>8845.400000000001</x:v>
      </x:c>
      <x:c r="O278" s="76" t="n">
        <x:f>M278-N278</x:f>
        <x:v>7384.5999999999985</x:v>
      </x:c>
      <x:c r="P278" s="71" t="str">
        <x:f>IF(O278&lt;0,"SHORT",IF(O278&lt;K278,"BELOW TARGET","COVERED"))</x:f>
        <x:v>COVERED</x:v>
      </x:c>
      <x:c r="Q278" s="63" t="str">
        <x:f>IF(AND(P278="SHORT",COUNTIFS($E$2:E278,E278,$P$2:P278,"SHORT")=1),B278,"")</x:f>
      </x:c>
    </x:row>
    <x:row r="279" ht="15" customHeight="1">
      <x:c r="A279" s="71" t="str">
        <x:v>SO-26052</x:v>
      </x:c>
      <x:c r="B279" s="75" t="n">
        <x:v>46275</x:v>
      </x:c>
      <x:c r="C279" s="71" t="str">
        <x:v>Normal</x:v>
      </x:c>
      <x:c r="D279" s="71" t="str">
        <x:v>FG-004</x:v>
      </x:c>
      <x:c r="E279" s="71" t="str">
        <x:v>RM-016</x:v>
      </x:c>
      <x:c r="F279" s="71" t="str">
        <x:v>Resin 016</x:v>
      </x:c>
      <x:c r="G279" s="76" t="n">
        <x:v>60</x:v>
      </x:c>
      <x:c r="H279" s="76" t="n">
        <x:v>47.78</x:v>
      </x:c>
      <x:c r="I279" s="76" t="n">
        <x:f>G279*H279</x:f>
        <x:v>2866.8</x:v>
      </x:c>
      <x:c r="J279" s="76" t="n">
        <x:f>IFERROR(INDEX('Inventory'!$E$2:$E$71,MATCH(E279,'Inventory'!$A$2:$A$71,0)),0)</x:f>
        <x:v>116</x:v>
      </x:c>
      <x:c r="K279" s="76" t="n">
        <x:f>IFERROR(INDEX('Inventory'!$F$2:$F$71,MATCH(E279,'Inventory'!$A$2:$A$71,0)),0)</x:f>
        <x:v>888</x:v>
      </x:c>
      <x:c r="L279" s="76" t="n">
        <x:f>SUMIFS('Open_POs'!$D$2:$D$26,'Open_POs'!$B$2:$B$26,E279,'Open_POs'!$E$2:$E$26,"&lt;="&amp;B279)</x:f>
        <x:v>0</x:v>
      </x:c>
      <x:c r="M279" s="76" t="n">
        <x:f>J279+L279</x:f>
        <x:v>116</x:v>
      </x:c>
      <x:c r="N279" s="76" t="n">
        <x:f>SUMIFS($I$2:I279,$E$2:E279,E279)</x:f>
        <x:v>10289.6</x:v>
      </x:c>
      <x:c r="O279" s="76" t="n">
        <x:f>M279-N279</x:f>
        <x:v>-10173.6</x:v>
      </x:c>
      <x:c r="P279" s="71" t="str">
        <x:f>IF(O279&lt;0,"SHORT",IF(O279&lt;K279,"BELOW TARGET","COVERED"))</x:f>
        <x:v>SHORT</x:v>
      </x:c>
      <x:c r="Q279" s="63" t="str">
        <x:f>IF(AND(P279="SHORT",COUNTIFS($E$2:E279,E279,$P$2:P279,"SHORT")=1),B279,"")</x:f>
      </x:c>
    </x:row>
    <x:row r="280" ht="15" customHeight="1">
      <x:c r="A280" s="71" t="str">
        <x:v>SO-26052</x:v>
      </x:c>
      <x:c r="B280" s="75" t="n">
        <x:v>46275</x:v>
      </x:c>
      <x:c r="C280" s="71" t="str">
        <x:v>Normal</x:v>
      </x:c>
      <x:c r="D280" s="71" t="str">
        <x:v>FG-004</x:v>
      </x:c>
      <x:c r="E280" s="71" t="str">
        <x:v>RM-021</x:v>
      </x:c>
      <x:c r="F280" s="71" t="str">
        <x:v>Resin 021</x:v>
      </x:c>
      <x:c r="G280" s="76" t="n">
        <x:v>60</x:v>
      </x:c>
      <x:c r="H280" s="76" t="n">
        <x:v>34.73</x:v>
      </x:c>
      <x:c r="I280" s="76" t="n">
        <x:f>G280*H280</x:f>
        <x:v>2083.7999999999997</x:v>
      </x:c>
      <x:c r="J280" s="76" t="n">
        <x:f>IFERROR(INDEX('Inventory'!$E$2:$E$71,MATCH(E280,'Inventory'!$A$2:$A$71,0)),0)</x:f>
        <x:v>8041</x:v>
      </x:c>
      <x:c r="K280" s="76" t="n">
        <x:f>IFERROR(INDEX('Inventory'!$F$2:$F$71,MATCH(E280,'Inventory'!$A$2:$A$71,0)),0)</x:f>
        <x:v>264</x:v>
      </x:c>
      <x:c r="L280" s="76" t="n">
        <x:f>SUMIFS('Open_POs'!$D$2:$D$26,'Open_POs'!$B$2:$B$26,E280,'Open_POs'!$E$2:$E$26,"&lt;="&amp;B280)</x:f>
        <x:v>0</x:v>
      </x:c>
      <x:c r="M280" s="76" t="n">
        <x:f>J280+L280</x:f>
        <x:v>8041</x:v>
      </x:c>
      <x:c r="N280" s="76" t="n">
        <x:f>SUMIFS($I$2:I280,$E$2:E280,E280)</x:f>
        <x:v>7050.5999999999985</x:v>
      </x:c>
      <x:c r="O280" s="76" t="n">
        <x:f>M280-N280</x:f>
        <x:v>990.4000000000015</x:v>
      </x:c>
      <x:c r="P280" s="71" t="str">
        <x:f>IF(O280&lt;0,"SHORT",IF(O280&lt;K280,"BELOW TARGET","COVERED"))</x:f>
        <x:v>COVERED</x:v>
      </x:c>
      <x:c r="Q280" s="63" t="str">
        <x:f>IF(AND(P280="SHORT",COUNTIFS($E$2:E280,E280,$P$2:P280,"SHORT")=1),B280,"")</x:f>
      </x:c>
    </x:row>
    <x:row r="281" ht="15" customHeight="1">
      <x:c r="A281" s="71" t="str">
        <x:v>SO-26052</x:v>
      </x:c>
      <x:c r="B281" s="75" t="n">
        <x:v>46275</x:v>
      </x:c>
      <x:c r="C281" s="71" t="str">
        <x:v>Normal</x:v>
      </x:c>
      <x:c r="D281" s="71" t="str">
        <x:v>FG-004</x:v>
      </x:c>
      <x:c r="E281" s="71" t="str">
        <x:v>RM-034</x:v>
      </x:c>
      <x:c r="F281" s="71" t="str">
        <x:v>Additive 034</x:v>
      </x:c>
      <x:c r="G281" s="76" t="n">
        <x:v>60</x:v>
      </x:c>
      <x:c r="H281" s="76" t="n">
        <x:v>107.4</x:v>
      </x:c>
      <x:c r="I281" s="76" t="n">
        <x:f>G281*H281</x:f>
        <x:v>6444</x:v>
      </x:c>
      <x:c r="J281" s="76" t="n">
        <x:f>IFERROR(INDEX('Inventory'!$E$2:$E$71,MATCH(E281,'Inventory'!$A$2:$A$71,0)),0)</x:f>
        <x:v>1971</x:v>
      </x:c>
      <x:c r="K281" s="76" t="n">
        <x:f>IFERROR(INDEX('Inventory'!$F$2:$F$71,MATCH(E281,'Inventory'!$A$2:$A$71,0)),0)</x:f>
        <x:v>1061</x:v>
      </x:c>
      <x:c r="L281" s="76" t="n">
        <x:f>SUMIFS('Open_POs'!$D$2:$D$26,'Open_POs'!$B$2:$B$26,E281,'Open_POs'!$E$2:$E$26,"&lt;="&amp;B281)</x:f>
        <x:v>0</x:v>
      </x:c>
      <x:c r="M281" s="76" t="n">
        <x:f>J281+L281</x:f>
        <x:v>1971</x:v>
      </x:c>
      <x:c r="N281" s="76" t="n">
        <x:f>SUMIFS($I$2:I281,$E$2:E281,E281)</x:f>
        <x:v>39588.4</x:v>
      </x:c>
      <x:c r="O281" s="76" t="n">
        <x:f>M281-N281</x:f>
        <x:v>-37617.4</x:v>
      </x:c>
      <x:c r="P281" s="71" t="str">
        <x:f>IF(O281&lt;0,"SHORT",IF(O281&lt;K281,"BELOW TARGET","COVERED"))</x:f>
        <x:v>SHORT</x:v>
      </x:c>
      <x:c r="Q281" s="63" t="str">
        <x:f>IF(AND(P281="SHORT",COUNTIFS($E$2:E281,E281,$P$2:P281,"SHORT")=1),B281,"")</x:f>
      </x:c>
    </x:row>
    <x:row r="282" ht="15" customHeight="1">
      <x:c r="A282" s="71" t="str">
        <x:v>SO-26052</x:v>
      </x:c>
      <x:c r="B282" s="75" t="n">
        <x:v>46275</x:v>
      </x:c>
      <x:c r="C282" s="71" t="str">
        <x:v>Normal</x:v>
      </x:c>
      <x:c r="D282" s="71" t="str">
        <x:v>FG-004</x:v>
      </x:c>
      <x:c r="E282" s="71" t="str">
        <x:v>RM-045</x:v>
      </x:c>
      <x:c r="F282" s="71" t="str">
        <x:v>Packaging 045</x:v>
      </x:c>
      <x:c r="G282" s="76" t="n">
        <x:v>60</x:v>
      </x:c>
      <x:c r="H282" s="76" t="n">
        <x:v>48.84</x:v>
      </x:c>
      <x:c r="I282" s="76" t="n">
        <x:f>G282*H282</x:f>
        <x:v>2930.4</x:v>
      </x:c>
      <x:c r="J282" s="76" t="n">
        <x:f>IFERROR(INDEX('Inventory'!$E$2:$E$71,MATCH(E282,'Inventory'!$A$2:$A$71,0)),0)</x:f>
        <x:v>16745</x:v>
      </x:c>
      <x:c r="K282" s="76" t="n">
        <x:f>IFERROR(INDEX('Inventory'!$F$2:$F$71,MATCH(E282,'Inventory'!$A$2:$A$71,0)),0)</x:f>
        <x:v>634</x:v>
      </x:c>
      <x:c r="L282" s="76" t="n">
        <x:f>SUMIFS('Open_POs'!$D$2:$D$26,'Open_POs'!$B$2:$B$26,E282,'Open_POs'!$E$2:$E$26,"&lt;="&amp;B282)</x:f>
        <x:v>0</x:v>
      </x:c>
      <x:c r="M282" s="76" t="n">
        <x:f>J282+L282</x:f>
        <x:v>16745</x:v>
      </x:c>
      <x:c r="N282" s="76" t="n">
        <x:f>SUMIFS($I$2:I282,$E$2:E282,E282)</x:f>
        <x:v>6837.6</x:v>
      </x:c>
      <x:c r="O282" s="76" t="n">
        <x:f>M282-N282</x:f>
        <x:v>9907.4</x:v>
      </x:c>
      <x:c r="P282" s="71" t="str">
        <x:f>IF(O282&lt;0,"SHORT",IF(O282&lt;K282,"BELOW TARGET","COVERED"))</x:f>
        <x:v>COVERED</x:v>
      </x:c>
      <x:c r="Q282" s="63" t="str">
        <x:f>IF(AND(P282="SHORT",COUNTIFS($E$2:E282,E282,$P$2:P282,"SHORT")=1),B282,"")</x:f>
      </x:c>
    </x:row>
    <x:row r="283" ht="15" customHeight="1">
      <x:c r="A283" s="71" t="str">
        <x:v>SO-26052</x:v>
      </x:c>
      <x:c r="B283" s="75" t="n">
        <x:v>46275</x:v>
      </x:c>
      <x:c r="C283" s="71" t="str">
        <x:v>Normal</x:v>
      </x:c>
      <x:c r="D283" s="71" t="str">
        <x:v>FG-004</x:v>
      </x:c>
      <x:c r="E283" s="71" t="str">
        <x:v>RM-061</x:v>
      </x:c>
      <x:c r="F283" s="71" t="str">
        <x:v>Resin 061</x:v>
      </x:c>
      <x:c r="G283" s="76" t="n">
        <x:v>60</x:v>
      </x:c>
      <x:c r="H283" s="76" t="n">
        <x:v>85.98</x:v>
      </x:c>
      <x:c r="I283" s="76" t="n">
        <x:f>G283*H283</x:f>
        <x:v>5158.8</x:v>
      </x:c>
      <x:c r="J283" s="76" t="n">
        <x:f>IFERROR(INDEX('Inventory'!$E$2:$E$71,MATCH(E283,'Inventory'!$A$2:$A$71,0)),0)</x:f>
        <x:v>16149</x:v>
      </x:c>
      <x:c r="K283" s="76" t="n">
        <x:f>IFERROR(INDEX('Inventory'!$F$2:$F$71,MATCH(E283,'Inventory'!$A$2:$A$71,0)),0)</x:f>
        <x:v>521</x:v>
      </x:c>
      <x:c r="L283" s="76" t="n">
        <x:f>SUMIFS('Open_POs'!$D$2:$D$26,'Open_POs'!$B$2:$B$26,E283,'Open_POs'!$E$2:$E$26,"&lt;="&amp;B283)</x:f>
        <x:v>0</x:v>
      </x:c>
      <x:c r="M283" s="76" t="n">
        <x:f>J283+L283</x:f>
        <x:v>16149</x:v>
      </x:c>
      <x:c r="N283" s="76" t="n">
        <x:f>SUMIFS($I$2:I283,$E$2:E283,E283)</x:f>
        <x:v>12037.2</x:v>
      </x:c>
      <x:c r="O283" s="76" t="n">
        <x:f>M283-N283</x:f>
        <x:v>4111.799999999999</x:v>
      </x:c>
      <x:c r="P283" s="71" t="str">
        <x:f>IF(O283&lt;0,"SHORT",IF(O283&lt;K283,"BELOW TARGET","COVERED"))</x:f>
        <x:v>COVERED</x:v>
      </x:c>
      <x:c r="Q283" s="63" t="str">
        <x:f>IF(AND(P283="SHORT",COUNTIFS($E$2:E283,E283,$P$2:P283,"SHORT")=1),B283,"")</x:f>
      </x:c>
    </x:row>
    <x:row r="284" ht="15" customHeight="1">
      <x:c r="A284" s="71" t="str">
        <x:v>SO-26066</x:v>
      </x:c>
      <x:c r="B284" s="75" t="n">
        <x:v>46275</x:v>
      </x:c>
      <x:c r="C284" s="71" t="str">
        <x:v>Normal</x:v>
      </x:c>
      <x:c r="D284" s="71" t="str">
        <x:v>FG-002</x:v>
      </x:c>
      <x:c r="E284" s="71" t="str">
        <x:v>RM-009</x:v>
      </x:c>
      <x:c r="F284" s="71" t="str">
        <x:v>Additive 009</x:v>
      </x:c>
      <x:c r="G284" s="76" t="n">
        <x:v>40</x:v>
      </x:c>
      <x:c r="H284" s="76" t="n">
        <x:v>117.77</x:v>
      </x:c>
      <x:c r="I284" s="76" t="n">
        <x:f>G284*H284</x:f>
        <x:v>4710.8</x:v>
      </x:c>
      <x:c r="J284" s="76" t="n">
        <x:f>IFERROR(INDEX('Inventory'!$E$2:$E$71,MATCH(E284,'Inventory'!$A$2:$A$71,0)),0)</x:f>
        <x:v>13813</x:v>
      </x:c>
      <x:c r="K284" s="76" t="n">
        <x:f>IFERROR(INDEX('Inventory'!$F$2:$F$71,MATCH(E284,'Inventory'!$A$2:$A$71,0)),0)</x:f>
        <x:v>1377</x:v>
      </x:c>
      <x:c r="L284" s="76" t="n">
        <x:f>SUMIFS('Open_POs'!$D$2:$D$26,'Open_POs'!$B$2:$B$26,E284,'Open_POs'!$E$2:$E$26,"&lt;="&amp;B284)</x:f>
        <x:v>0</x:v>
      </x:c>
      <x:c r="M284" s="76" t="n">
        <x:f>J284+L284</x:f>
        <x:v>13813</x:v>
      </x:c>
      <x:c r="N284" s="76" t="n">
        <x:f>SUMIFS($I$2:I284,$E$2:E284,E284)</x:f>
        <x:v>34226.200000000004</x:v>
      </x:c>
      <x:c r="O284" s="76" t="n">
        <x:f>M284-N284</x:f>
        <x:v>-20413.200000000004</x:v>
      </x:c>
      <x:c r="P284" s="71" t="str">
        <x:f>IF(O284&lt;0,"SHORT",IF(O284&lt;K284,"BELOW TARGET","COVERED"))</x:f>
        <x:v>SHORT</x:v>
      </x:c>
      <x:c r="Q284" s="63" t="str">
        <x:f>IF(AND(P284="SHORT",COUNTIFS($E$2:E284,E284,$P$2:P284,"SHORT")=1),B284,"")</x:f>
      </x:c>
    </x:row>
    <x:row r="285" ht="15" customHeight="1">
      <x:c r="A285" s="71" t="str">
        <x:v>SO-26066</x:v>
      </x:c>
      <x:c r="B285" s="75" t="n">
        <x:v>46275</x:v>
      </x:c>
      <x:c r="C285" s="71" t="str">
        <x:v>Normal</x:v>
      </x:c>
      <x:c r="D285" s="71" t="str">
        <x:v>FG-002</x:v>
      </x:c>
      <x:c r="E285" s="71" t="str">
        <x:v>RM-011</x:v>
      </x:c>
      <x:c r="F285" s="71" t="str">
        <x:v>Resin 011</x:v>
      </x:c>
      <x:c r="G285" s="76" t="n">
        <x:v>40</x:v>
      </x:c>
      <x:c r="H285" s="76" t="n">
        <x:v>52.57</x:v>
      </x:c>
      <x:c r="I285" s="76" t="n">
        <x:f>G285*H285</x:f>
        <x:v>2102.8</x:v>
      </x:c>
      <x:c r="J285" s="76" t="n">
        <x:f>IFERROR(INDEX('Inventory'!$E$2:$E$71,MATCH(E285,'Inventory'!$A$2:$A$71,0)),0)</x:f>
        <x:v>16410</x:v>
      </x:c>
      <x:c r="K285" s="76" t="n">
        <x:f>IFERROR(INDEX('Inventory'!$F$2:$F$71,MATCH(E285,'Inventory'!$A$2:$A$71,0)),0)</x:f>
        <x:v>1275</x:v>
      </x:c>
      <x:c r="L285" s="76" t="n">
        <x:f>SUMIFS('Open_POs'!$D$2:$D$26,'Open_POs'!$B$2:$B$26,E285,'Open_POs'!$E$2:$E$26,"&lt;="&amp;B285)</x:f>
        <x:v>0</x:v>
      </x:c>
      <x:c r="M285" s="76" t="n">
        <x:f>J285+L285</x:f>
        <x:v>16410</x:v>
      </x:c>
      <x:c r="N285" s="76" t="n">
        <x:f>SUMIFS($I$2:I285,$E$2:E285,E285)</x:f>
        <x:v>16809</x:v>
      </x:c>
      <x:c r="O285" s="76" t="n">
        <x:f>M285-N285</x:f>
        <x:v>-399</x:v>
      </x:c>
      <x:c r="P285" s="71" t="str">
        <x:f>IF(O285&lt;0,"SHORT",IF(O285&lt;K285,"BELOW TARGET","COVERED"))</x:f>
        <x:v>SHORT</x:v>
      </x:c>
      <x:c r="Q285" s="63" t="n">
        <x:f>IF(AND(P285="SHORT",COUNTIFS($E$2:E285,E285,$P$2:P285,"SHORT")=1),B285,"")</x:f>
        <x:v>46275</x:v>
      </x:c>
    </x:row>
    <x:row r="286" ht="15" customHeight="1">
      <x:c r="A286" s="71" t="str">
        <x:v>SO-26066</x:v>
      </x:c>
      <x:c r="B286" s="75" t="n">
        <x:v>46275</x:v>
      </x:c>
      <x:c r="C286" s="71" t="str">
        <x:v>Normal</x:v>
      </x:c>
      <x:c r="D286" s="71" t="str">
        <x:v>FG-002</x:v>
      </x:c>
      <x:c r="E286" s="71" t="str">
        <x:v>RM-026</x:v>
      </x:c>
      <x:c r="F286" s="71" t="str">
        <x:v>Resin 026</x:v>
      </x:c>
      <x:c r="G286" s="76" t="n">
        <x:v>40</x:v>
      </x:c>
      <x:c r="H286" s="76" t="n">
        <x:v>45.6</x:v>
      </x:c>
      <x:c r="I286" s="76" t="n">
        <x:f>G286*H286</x:f>
        <x:v>1824</x:v>
      </x:c>
      <x:c r="J286" s="76" t="n">
        <x:f>IFERROR(INDEX('Inventory'!$E$2:$E$71,MATCH(E286,'Inventory'!$A$2:$A$71,0)),0)</x:f>
        <x:v>1771</x:v>
      </x:c>
      <x:c r="K286" s="76" t="n">
        <x:f>IFERROR(INDEX('Inventory'!$F$2:$F$71,MATCH(E286,'Inventory'!$A$2:$A$71,0)),0)</x:f>
        <x:v>1475</x:v>
      </x:c>
      <x:c r="L286" s="76" t="n">
        <x:f>SUMIFS('Open_POs'!$D$2:$D$26,'Open_POs'!$B$2:$B$26,E286,'Open_POs'!$E$2:$E$26,"&lt;="&amp;B286)</x:f>
        <x:v>0</x:v>
      </x:c>
      <x:c r="M286" s="76" t="n">
        <x:f>J286+L286</x:f>
        <x:v>1771</x:v>
      </x:c>
      <x:c r="N286" s="76" t="n">
        <x:f>SUMIFS($I$2:I286,$E$2:E286,E286)</x:f>
        <x:v>9556</x:v>
      </x:c>
      <x:c r="O286" s="76" t="n">
        <x:f>M286-N286</x:f>
        <x:v>-7785</x:v>
      </x:c>
      <x:c r="P286" s="71" t="str">
        <x:f>IF(O286&lt;0,"SHORT",IF(O286&lt;K286,"BELOW TARGET","COVERED"))</x:f>
        <x:v>SHORT</x:v>
      </x:c>
      <x:c r="Q286" s="63" t="str">
        <x:f>IF(AND(P286="SHORT",COUNTIFS($E$2:E286,E286,$P$2:P286,"SHORT")=1),B286,"")</x:f>
      </x:c>
    </x:row>
    <x:row r="287" ht="15" customHeight="1">
      <x:c r="A287" s="71" t="str">
        <x:v>SO-26066</x:v>
      </x:c>
      <x:c r="B287" s="75" t="n">
        <x:v>46275</x:v>
      </x:c>
      <x:c r="C287" s="71" t="str">
        <x:v>Normal</x:v>
      </x:c>
      <x:c r="D287" s="71" t="str">
        <x:v>FG-002</x:v>
      </x:c>
      <x:c r="E287" s="71" t="str">
        <x:v>RM-028</x:v>
      </x:c>
      <x:c r="F287" s="71" t="str">
        <x:v>Filler 028</x:v>
      </x:c>
      <x:c r="G287" s="76" t="n">
        <x:v>40</x:v>
      </x:c>
      <x:c r="H287" s="76" t="n">
        <x:v>31.59</x:v>
      </x:c>
      <x:c r="I287" s="76" t="n">
        <x:f>G287*H287</x:f>
        <x:v>1263.6</x:v>
      </x:c>
      <x:c r="J287" s="76" t="n">
        <x:f>IFERROR(INDEX('Inventory'!$E$2:$E$71,MATCH(E287,'Inventory'!$A$2:$A$71,0)),0)</x:f>
        <x:v>14836</x:v>
      </x:c>
      <x:c r="K287" s="76" t="n">
        <x:f>IFERROR(INDEX('Inventory'!$F$2:$F$71,MATCH(E287,'Inventory'!$A$2:$A$71,0)),0)</x:f>
        <x:v>1498</x:v>
      </x:c>
      <x:c r="L287" s="76" t="n">
        <x:f>SUMIFS('Open_POs'!$D$2:$D$26,'Open_POs'!$B$2:$B$26,E287,'Open_POs'!$E$2:$E$26,"&lt;="&amp;B287)</x:f>
        <x:v>1000</x:v>
      </x:c>
      <x:c r="M287" s="76" t="n">
        <x:f>J287+L287</x:f>
        <x:v>15836</x:v>
      </x:c>
      <x:c r="N287" s="76" t="n">
        <x:f>SUMIFS($I$2:I287,$E$2:E287,E287)</x:f>
        <x:v>1560.8</x:v>
      </x:c>
      <x:c r="O287" s="76" t="n">
        <x:f>M287-N287</x:f>
        <x:v>14275.2</x:v>
      </x:c>
      <x:c r="P287" s="71" t="str">
        <x:f>IF(O287&lt;0,"SHORT",IF(O287&lt;K287,"BELOW TARGET","COVERED"))</x:f>
        <x:v>COVERED</x:v>
      </x:c>
      <x:c r="Q287" s="63" t="str">
        <x:f>IF(AND(P287="SHORT",COUNTIFS($E$2:E287,E287,$P$2:P287,"SHORT")=1),B287,"")</x:f>
      </x:c>
    </x:row>
    <x:row r="288" ht="15" customHeight="1">
      <x:c r="A288" s="71" t="str">
        <x:v>SO-26066</x:v>
      </x:c>
      <x:c r="B288" s="75" t="n">
        <x:v>46275</x:v>
      </x:c>
      <x:c r="C288" s="71" t="str">
        <x:v>Normal</x:v>
      </x:c>
      <x:c r="D288" s="71" t="str">
        <x:v>FG-002</x:v>
      </x:c>
      <x:c r="E288" s="71" t="str">
        <x:v>RM-035</x:v>
      </x:c>
      <x:c r="F288" s="71" t="str">
        <x:v>Packaging 035</x:v>
      </x:c>
      <x:c r="G288" s="76" t="n">
        <x:v>40</x:v>
      </x:c>
      <x:c r="H288" s="76" t="n">
        <x:v>109.92</x:v>
      </x:c>
      <x:c r="I288" s="76" t="n">
        <x:f>G288*H288</x:f>
        <x:v>4396.8</x:v>
      </x:c>
      <x:c r="J288" s="76" t="n">
        <x:f>IFERROR(INDEX('Inventory'!$E$2:$E$71,MATCH(E288,'Inventory'!$A$2:$A$71,0)),0)</x:f>
        <x:v>8691</x:v>
      </x:c>
      <x:c r="K288" s="76" t="n">
        <x:f>IFERROR(INDEX('Inventory'!$F$2:$F$71,MATCH(E288,'Inventory'!$A$2:$A$71,0)),0)</x:f>
        <x:v>505</x:v>
      </x:c>
      <x:c r="L288" s="76" t="n">
        <x:f>SUMIFS('Open_POs'!$D$2:$D$26,'Open_POs'!$B$2:$B$26,E288,'Open_POs'!$E$2:$E$26,"&lt;="&amp;B288)</x:f>
        <x:v>0</x:v>
      </x:c>
      <x:c r="M288" s="76" t="n">
        <x:f>J288+L288</x:f>
        <x:v>8691</x:v>
      </x:c>
      <x:c r="N288" s="76" t="n">
        <x:f>SUMIFS($I$2:I288,$E$2:E288,E288)</x:f>
        <x:v>4396.8</x:v>
      </x:c>
      <x:c r="O288" s="76" t="n">
        <x:f>M288-N288</x:f>
        <x:v>4294.2</x:v>
      </x:c>
      <x:c r="P288" s="71" t="str">
        <x:f>IF(O288&lt;0,"SHORT",IF(O288&lt;K288,"BELOW TARGET","COVERED"))</x:f>
        <x:v>COVERED</x:v>
      </x:c>
      <x:c r="Q288" s="63" t="str">
        <x:f>IF(AND(P288="SHORT",COUNTIFS($E$2:E288,E288,$P$2:P288,"SHORT")=1),B288,"")</x:f>
      </x:c>
    </x:row>
    <x:row r="289" ht="15" customHeight="1">
      <x:c r="A289" s="71" t="str">
        <x:v>SO-26066</x:v>
      </x:c>
      <x:c r="B289" s="75" t="n">
        <x:v>46275</x:v>
      </x:c>
      <x:c r="C289" s="71" t="str">
        <x:v>Normal</x:v>
      </x:c>
      <x:c r="D289" s="71" t="str">
        <x:v>FG-002</x:v>
      </x:c>
      <x:c r="E289" s="71" t="str">
        <x:v>RM-054</x:v>
      </x:c>
      <x:c r="F289" s="71" t="str">
        <x:v>Additive 054</x:v>
      </x:c>
      <x:c r="G289" s="76" t="n">
        <x:v>40</x:v>
      </x:c>
      <x:c r="H289" s="76" t="n">
        <x:v>85.79</x:v>
      </x:c>
      <x:c r="I289" s="76" t="n">
        <x:f>G289*H289</x:f>
        <x:v>3431.6000000000004</x:v>
      </x:c>
      <x:c r="J289" s="76" t="n">
        <x:f>IFERROR(INDEX('Inventory'!$E$2:$E$71,MATCH(E289,'Inventory'!$A$2:$A$71,0)),0)</x:f>
        <x:v>15751</x:v>
      </x:c>
      <x:c r="K289" s="76" t="n">
        <x:f>IFERROR(INDEX('Inventory'!$F$2:$F$71,MATCH(E289,'Inventory'!$A$2:$A$71,0)),0)</x:f>
        <x:v>1392</x:v>
      </x:c>
      <x:c r="L289" s="76" t="n">
        <x:f>SUMIFS('Open_POs'!$D$2:$D$26,'Open_POs'!$B$2:$B$26,E289,'Open_POs'!$E$2:$E$26,"&lt;="&amp;B289)</x:f>
        <x:v>0</x:v>
      </x:c>
      <x:c r="M289" s="76" t="n">
        <x:f>J289+L289</x:f>
        <x:v>15751</x:v>
      </x:c>
      <x:c r="N289" s="76" t="n">
        <x:f>SUMIFS($I$2:I289,$E$2:E289,E289)</x:f>
        <x:v>3431.6000000000004</x:v>
      </x:c>
      <x:c r="O289" s="76" t="n">
        <x:f>M289-N289</x:f>
        <x:v>12319.4</x:v>
      </x:c>
      <x:c r="P289" s="71" t="str">
        <x:f>IF(O289&lt;0,"SHORT",IF(O289&lt;K289,"BELOW TARGET","COVERED"))</x:f>
        <x:v>COVERED</x:v>
      </x:c>
      <x:c r="Q289" s="63" t="str">
        <x:f>IF(AND(P289="SHORT",COUNTIFS($E$2:E289,E289,$P$2:P289,"SHORT")=1),B289,"")</x:f>
      </x:c>
    </x:row>
    <x:row r="290" ht="15" customHeight="1">
      <x:c r="A290" s="71" t="str">
        <x:v>SO-26066</x:v>
      </x:c>
      <x:c r="B290" s="75" t="n">
        <x:v>46275</x:v>
      </x:c>
      <x:c r="C290" s="71" t="str">
        <x:v>Normal</x:v>
      </x:c>
      <x:c r="D290" s="71" t="str">
        <x:v>FG-002</x:v>
      </x:c>
      <x:c r="E290" s="71" t="str">
        <x:v>RM-058</x:v>
      </x:c>
      <x:c r="F290" s="71" t="str">
        <x:v>Filler 058</x:v>
      </x:c>
      <x:c r="G290" s="76" t="n">
        <x:v>40</x:v>
      </x:c>
      <x:c r="H290" s="76" t="n">
        <x:v>110.47</x:v>
      </x:c>
      <x:c r="I290" s="76" t="n">
        <x:f>G290*H290</x:f>
        <x:v>4418.8</x:v>
      </x:c>
      <x:c r="J290" s="76" t="n">
        <x:f>IFERROR(INDEX('Inventory'!$E$2:$E$71,MATCH(E290,'Inventory'!$A$2:$A$71,0)),0)</x:f>
        <x:v>9929</x:v>
      </x:c>
      <x:c r="K290" s="76" t="n">
        <x:f>IFERROR(INDEX('Inventory'!$F$2:$F$71,MATCH(E290,'Inventory'!$A$2:$A$71,0)),0)</x:f>
        <x:v>701</x:v>
      </x:c>
      <x:c r="L290" s="76" t="n">
        <x:f>SUMIFS('Open_POs'!$D$2:$D$26,'Open_POs'!$B$2:$B$26,E290,'Open_POs'!$E$2:$E$26,"&lt;="&amp;B290)</x:f>
        <x:v>0</x:v>
      </x:c>
      <x:c r="M290" s="76" t="n">
        <x:f>J290+L290</x:f>
        <x:v>9929</x:v>
      </x:c>
      <x:c r="N290" s="76" t="n">
        <x:f>SUMIFS($I$2:I290,$E$2:E290,E290)</x:f>
        <x:v>48293.100000000006</x:v>
      </x:c>
      <x:c r="O290" s="76" t="n">
        <x:f>M290-N290</x:f>
        <x:v>-38364.100000000006</x:v>
      </x:c>
      <x:c r="P290" s="71" t="str">
        <x:f>IF(O290&lt;0,"SHORT",IF(O290&lt;K290,"BELOW TARGET","COVERED"))</x:f>
        <x:v>SHORT</x:v>
      </x:c>
      <x:c r="Q290" s="63" t="str">
        <x:f>IF(AND(P290="SHORT",COUNTIFS($E$2:E290,E290,$P$2:P290,"SHORT")=1),B290,"")</x:f>
      </x:c>
    </x:row>
    <x:row r="291" ht="15" customHeight="1">
      <x:c r="A291" s="71" t="str">
        <x:v>SO-26072</x:v>
      </x:c>
      <x:c r="B291" s="75" t="n">
        <x:v>46276</x:v>
      </x:c>
      <x:c r="C291" s="71" t="str">
        <x:v>High</x:v>
      </x:c>
      <x:c r="D291" s="71" t="str">
        <x:v>FG-019</x:v>
      </x:c>
      <x:c r="E291" s="71" t="str">
        <x:v>RM-007</x:v>
      </x:c>
      <x:c r="F291" s="71" t="str">
        <x:v>Pigment 007</x:v>
      </x:c>
      <x:c r="G291" s="76" t="n">
        <x:v>100</x:v>
      </x:c>
      <x:c r="H291" s="76" t="n">
        <x:v>64.2</x:v>
      </x:c>
      <x:c r="I291" s="76" t="n">
        <x:f>G291*H291</x:f>
        <x:v>6420</x:v>
      </x:c>
      <x:c r="J291" s="76" t="n">
        <x:f>IFERROR(INDEX('Inventory'!$E$2:$E$71,MATCH(E291,'Inventory'!$A$2:$A$71,0)),0)</x:f>
        <x:v>9115</x:v>
      </x:c>
      <x:c r="K291" s="76" t="n">
        <x:f>IFERROR(INDEX('Inventory'!$F$2:$F$71,MATCH(E291,'Inventory'!$A$2:$A$71,0)),0)</x:f>
        <x:v>230</x:v>
      </x:c>
      <x:c r="L291" s="76" t="n">
        <x:f>SUMIFS('Open_POs'!$D$2:$D$26,'Open_POs'!$B$2:$B$26,E291,'Open_POs'!$E$2:$E$26,"&lt;="&amp;B291)</x:f>
        <x:v>0</x:v>
      </x:c>
      <x:c r="M291" s="76" t="n">
        <x:f>J291+L291</x:f>
        <x:v>9115</x:v>
      </x:c>
      <x:c r="N291" s="76" t="n">
        <x:f>SUMIFS($I$2:I291,$E$2:E291,E291)</x:f>
        <x:v>16821.6</x:v>
      </x:c>
      <x:c r="O291" s="76" t="n">
        <x:f>M291-N291</x:f>
        <x:v>-7706.5999999999985</x:v>
      </x:c>
      <x:c r="P291" s="71" t="str">
        <x:f>IF(O291&lt;0,"SHORT",IF(O291&lt;K291,"BELOW TARGET","COVERED"))</x:f>
        <x:v>SHORT</x:v>
      </x:c>
      <x:c r="Q291" s="63" t="str">
        <x:f>IF(AND(P291="SHORT",COUNTIFS($E$2:E291,E291,$P$2:P291,"SHORT")=1),B291,"")</x:f>
      </x:c>
    </x:row>
    <x:row r="292" ht="15" customHeight="1">
      <x:c r="A292" s="71" t="str">
        <x:v>SO-26072</x:v>
      </x:c>
      <x:c r="B292" s="75" t="n">
        <x:v>46276</x:v>
      </x:c>
      <x:c r="C292" s="71" t="str">
        <x:v>High</x:v>
      </x:c>
      <x:c r="D292" s="71" t="str">
        <x:v>FG-019</x:v>
      </x:c>
      <x:c r="E292" s="71" t="str">
        <x:v>RM-014</x:v>
      </x:c>
      <x:c r="F292" s="71" t="str">
        <x:v>Additive 014</x:v>
      </x:c>
      <x:c r="G292" s="76" t="n">
        <x:v>100</x:v>
      </x:c>
      <x:c r="H292" s="76" t="n">
        <x:v>61.33</x:v>
      </x:c>
      <x:c r="I292" s="76" t="n">
        <x:f>G292*H292</x:f>
        <x:v>6133</x:v>
      </x:c>
      <x:c r="J292" s="76" t="n">
        <x:f>IFERROR(INDEX('Inventory'!$E$2:$E$71,MATCH(E292,'Inventory'!$A$2:$A$71,0)),0)</x:f>
        <x:v>2788</x:v>
      </x:c>
      <x:c r="K292" s="76" t="n">
        <x:f>IFERROR(INDEX('Inventory'!$F$2:$F$71,MATCH(E292,'Inventory'!$A$2:$A$71,0)),0)</x:f>
        <x:v>1133</x:v>
      </x:c>
      <x:c r="L292" s="76" t="n">
        <x:f>SUMIFS('Open_POs'!$D$2:$D$26,'Open_POs'!$B$2:$B$26,E292,'Open_POs'!$E$2:$E$26,"&lt;="&amp;B292)</x:f>
        <x:v>0</x:v>
      </x:c>
      <x:c r="M292" s="76" t="n">
        <x:f>J292+L292</x:f>
        <x:v>2788</x:v>
      </x:c>
      <x:c r="N292" s="76" t="n">
        <x:f>SUMIFS($I$2:I292,$E$2:E292,E292)</x:f>
        <x:v>9199.5</x:v>
      </x:c>
      <x:c r="O292" s="76" t="n">
        <x:f>M292-N292</x:f>
        <x:v>-6411.5</x:v>
      </x:c>
      <x:c r="P292" s="71" t="str">
        <x:f>IF(O292&lt;0,"SHORT",IF(O292&lt;K292,"BELOW TARGET","COVERED"))</x:f>
        <x:v>SHORT</x:v>
      </x:c>
      <x:c r="Q292" s="63" t="str">
        <x:f>IF(AND(P292="SHORT",COUNTIFS($E$2:E292,E292,$P$2:P292,"SHORT")=1),B292,"")</x:f>
      </x:c>
    </x:row>
    <x:row r="293" ht="15" customHeight="1">
      <x:c r="A293" s="71" t="str">
        <x:v>SO-26072</x:v>
      </x:c>
      <x:c r="B293" s="75" t="n">
        <x:v>46276</x:v>
      </x:c>
      <x:c r="C293" s="71" t="str">
        <x:v>High</x:v>
      </x:c>
      <x:c r="D293" s="71" t="str">
        <x:v>FG-019</x:v>
      </x:c>
      <x:c r="E293" s="71" t="str">
        <x:v>RM-023</x:v>
      </x:c>
      <x:c r="F293" s="71" t="str">
        <x:v>Filler 023</x:v>
      </x:c>
      <x:c r="G293" s="76" t="n">
        <x:v>100</x:v>
      </x:c>
      <x:c r="H293" s="76" t="n">
        <x:v>34.53</x:v>
      </x:c>
      <x:c r="I293" s="76" t="n">
        <x:f>G293*H293</x:f>
        <x:v>3453</x:v>
      </x:c>
      <x:c r="J293" s="76" t="n">
        <x:f>IFERROR(INDEX('Inventory'!$E$2:$E$71,MATCH(E293,'Inventory'!$A$2:$A$71,0)),0)</x:f>
        <x:v>3401</x:v>
      </x:c>
      <x:c r="K293" s="76" t="n">
        <x:f>IFERROR(INDEX('Inventory'!$F$2:$F$71,MATCH(E293,'Inventory'!$A$2:$A$71,0)),0)</x:f>
        <x:v>418</x:v>
      </x:c>
      <x:c r="L293" s="76" t="n">
        <x:f>SUMIFS('Open_POs'!$D$2:$D$26,'Open_POs'!$B$2:$B$26,E293,'Open_POs'!$E$2:$E$26,"&lt;="&amp;B293)</x:f>
        <x:v>0</x:v>
      </x:c>
      <x:c r="M293" s="76" t="n">
        <x:f>J293+L293</x:f>
        <x:v>3401</x:v>
      </x:c>
      <x:c r="N293" s="76" t="n">
        <x:f>SUMIFS($I$2:I293,$E$2:E293,E293)</x:f>
        <x:v>8539.3</x:v>
      </x:c>
      <x:c r="O293" s="76" t="n">
        <x:f>M293-N293</x:f>
        <x:v>-5138.299999999999</x:v>
      </x:c>
      <x:c r="P293" s="71" t="str">
        <x:f>IF(O293&lt;0,"SHORT",IF(O293&lt;K293,"BELOW TARGET","COVERED"))</x:f>
        <x:v>SHORT</x:v>
      </x:c>
      <x:c r="Q293" s="63" t="str">
        <x:f>IF(AND(P293="SHORT",COUNTIFS($E$2:E293,E293,$P$2:P293,"SHORT")=1),B293,"")</x:f>
      </x:c>
    </x:row>
    <x:row r="294" ht="15" customHeight="1">
      <x:c r="A294" s="71" t="str">
        <x:v>SO-26072</x:v>
      </x:c>
      <x:c r="B294" s="75" t="n">
        <x:v>46276</x:v>
      </x:c>
      <x:c r="C294" s="71" t="str">
        <x:v>High</x:v>
      </x:c>
      <x:c r="D294" s="71" t="str">
        <x:v>FG-019</x:v>
      </x:c>
      <x:c r="E294" s="71" t="str">
        <x:v>RM-033</x:v>
      </x:c>
      <x:c r="F294" s="71" t="str">
        <x:v>Filler 033</x:v>
      </x:c>
      <x:c r="G294" s="76" t="n">
        <x:v>100</x:v>
      </x:c>
      <x:c r="H294" s="76" t="n">
        <x:v>41.3</x:v>
      </x:c>
      <x:c r="I294" s="76" t="n">
        <x:f>G294*H294</x:f>
        <x:v>4130</x:v>
      </x:c>
      <x:c r="J294" s="76" t="n">
        <x:f>IFERROR(INDEX('Inventory'!$E$2:$E$71,MATCH(E294,'Inventory'!$A$2:$A$71,0)),0)</x:f>
        <x:v>4157</x:v>
      </x:c>
      <x:c r="K294" s="76" t="n">
        <x:f>IFERROR(INDEX('Inventory'!$F$2:$F$71,MATCH(E294,'Inventory'!$A$2:$A$71,0)),0)</x:f>
        <x:v>1030</x:v>
      </x:c>
      <x:c r="L294" s="76" t="n">
        <x:f>SUMIFS('Open_POs'!$D$2:$D$26,'Open_POs'!$B$2:$B$26,E294,'Open_POs'!$E$2:$E$26,"&lt;="&amp;B294)</x:f>
        <x:v>0</x:v>
      </x:c>
      <x:c r="M294" s="76" t="n">
        <x:f>J294+L294</x:f>
        <x:v>4157</x:v>
      </x:c>
      <x:c r="N294" s="76" t="n">
        <x:f>SUMIFS($I$2:I294,$E$2:E294,E294)</x:f>
        <x:v>13417.4</x:v>
      </x:c>
      <x:c r="O294" s="76" t="n">
        <x:f>M294-N294</x:f>
        <x:v>-9260.4</x:v>
      </x:c>
      <x:c r="P294" s="71" t="str">
        <x:f>IF(O294&lt;0,"SHORT",IF(O294&lt;K294,"BELOW TARGET","COVERED"))</x:f>
        <x:v>SHORT</x:v>
      </x:c>
      <x:c r="Q294" s="63" t="str">
        <x:f>IF(AND(P294="SHORT",COUNTIFS($E$2:E294,E294,$P$2:P294,"SHORT")=1),B294,"")</x:f>
      </x:c>
    </x:row>
    <x:row r="295" ht="15" customHeight="1">
      <x:c r="A295" s="71" t="str">
        <x:v>SO-26072</x:v>
      </x:c>
      <x:c r="B295" s="75" t="n">
        <x:v>46276</x:v>
      </x:c>
      <x:c r="C295" s="71" t="str">
        <x:v>High</x:v>
      </x:c>
      <x:c r="D295" s="71" t="str">
        <x:v>FG-019</x:v>
      </x:c>
      <x:c r="E295" s="71" t="str">
        <x:v>RM-038</x:v>
      </x:c>
      <x:c r="F295" s="71" t="str">
        <x:v>Filler 038</x:v>
      </x:c>
      <x:c r="G295" s="76" t="n">
        <x:v>100</x:v>
      </x:c>
      <x:c r="H295" s="76" t="n">
        <x:v>50.34</x:v>
      </x:c>
      <x:c r="I295" s="76" t="n">
        <x:f>G295*H295</x:f>
        <x:v>5034</x:v>
      </x:c>
      <x:c r="J295" s="76" t="n">
        <x:f>IFERROR(INDEX('Inventory'!$E$2:$E$71,MATCH(E295,'Inventory'!$A$2:$A$71,0)),0)</x:f>
        <x:v>10042</x:v>
      </x:c>
      <x:c r="K295" s="76" t="n">
        <x:f>IFERROR(INDEX('Inventory'!$F$2:$F$71,MATCH(E295,'Inventory'!$A$2:$A$71,0)),0)</x:f>
        <x:v>1452</x:v>
      </x:c>
      <x:c r="L295" s="76" t="n">
        <x:f>SUMIFS('Open_POs'!$D$2:$D$26,'Open_POs'!$B$2:$B$26,E295,'Open_POs'!$E$2:$E$26,"&lt;="&amp;B295)</x:f>
        <x:v>10000</x:v>
      </x:c>
      <x:c r="M295" s="76" t="n">
        <x:f>J295+L295</x:f>
        <x:v>20042</x:v>
      </x:c>
      <x:c r="N295" s="76" t="n">
        <x:f>SUMIFS($I$2:I295,$E$2:E295,E295)</x:f>
        <x:v>21762.9</x:v>
      </x:c>
      <x:c r="O295" s="76" t="n">
        <x:f>M295-N295</x:f>
        <x:v>-1720.9000000000015</x:v>
      </x:c>
      <x:c r="P295" s="71" t="str">
        <x:f>IF(O295&lt;0,"SHORT",IF(O295&lt;K295,"BELOW TARGET","COVERED"))</x:f>
        <x:v>SHORT</x:v>
      </x:c>
      <x:c r="Q295" s="63" t="str">
        <x:f>IF(AND(P295="SHORT",COUNTIFS($E$2:E295,E295,$P$2:P295,"SHORT")=1),B295,"")</x:f>
      </x:c>
    </x:row>
    <x:row r="296" ht="15" customHeight="1">
      <x:c r="A296" s="71" t="str">
        <x:v>SO-26072</x:v>
      </x:c>
      <x:c r="B296" s="75" t="n">
        <x:v>46276</x:v>
      </x:c>
      <x:c r="C296" s="71" t="str">
        <x:v>High</x:v>
      </x:c>
      <x:c r="D296" s="71" t="str">
        <x:v>FG-019</x:v>
      </x:c>
      <x:c r="E296" s="71" t="str">
        <x:v>RM-041</x:v>
      </x:c>
      <x:c r="F296" s="71" t="str">
        <x:v>Resin 041</x:v>
      </x:c>
      <x:c r="G296" s="76" t="n">
        <x:v>100</x:v>
      </x:c>
      <x:c r="H296" s="76" t="n">
        <x:v>9.3</x:v>
      </x:c>
      <x:c r="I296" s="76" t="n">
        <x:f>G296*H296</x:f>
        <x:v>930.0000000000001</x:v>
      </x:c>
      <x:c r="J296" s="76" t="n">
        <x:f>IFERROR(INDEX('Inventory'!$E$2:$E$71,MATCH(E296,'Inventory'!$A$2:$A$71,0)),0)</x:f>
        <x:v>4635</x:v>
      </x:c>
      <x:c r="K296" s="76" t="n">
        <x:f>IFERROR(INDEX('Inventory'!$F$2:$F$71,MATCH(E296,'Inventory'!$A$2:$A$71,0)),0)</x:f>
        <x:v>987</x:v>
      </x:c>
      <x:c r="L296" s="76" t="n">
        <x:f>SUMIFS('Open_POs'!$D$2:$D$26,'Open_POs'!$B$2:$B$26,E296,'Open_POs'!$E$2:$E$26,"&lt;="&amp;B296)</x:f>
        <x:v>0</x:v>
      </x:c>
      <x:c r="M296" s="76" t="n">
        <x:f>J296+L296</x:f>
        <x:v>4635</x:v>
      </x:c>
      <x:c r="N296" s="76" t="n">
        <x:f>SUMIFS($I$2:I296,$E$2:E296,E296)</x:f>
        <x:v>7722.200000000001</x:v>
      </x:c>
      <x:c r="O296" s="76" t="n">
        <x:f>M296-N296</x:f>
        <x:v>-3087.2000000000007</x:v>
      </x:c>
      <x:c r="P296" s="71" t="str">
        <x:f>IF(O296&lt;0,"SHORT",IF(O296&lt;K296,"BELOW TARGET","COVERED"))</x:f>
        <x:v>SHORT</x:v>
      </x:c>
      <x:c r="Q296" s="63" t="str">
        <x:f>IF(AND(P296="SHORT",COUNTIFS($E$2:E296,E296,$P$2:P296,"SHORT")=1),B296,"")</x:f>
      </x:c>
    </x:row>
    <x:row r="297" ht="15" customHeight="1">
      <x:c r="A297" s="71" t="str">
        <x:v>SO-26072</x:v>
      </x:c>
      <x:c r="B297" s="75" t="n">
        <x:v>46276</x:v>
      </x:c>
      <x:c r="C297" s="71" t="str">
        <x:v>High</x:v>
      </x:c>
      <x:c r="D297" s="71" t="str">
        <x:v>FG-019</x:v>
      </x:c>
      <x:c r="E297" s="71" t="str">
        <x:v>RM-048</x:v>
      </x:c>
      <x:c r="F297" s="71" t="str">
        <x:v>Filler 048</x:v>
      </x:c>
      <x:c r="G297" s="76" t="n">
        <x:v>100</x:v>
      </x:c>
      <x:c r="H297" s="76" t="n">
        <x:v>41.51</x:v>
      </x:c>
      <x:c r="I297" s="76" t="n">
        <x:f>G297*H297</x:f>
        <x:v>4151</x:v>
      </x:c>
      <x:c r="J297" s="76" t="n">
        <x:f>IFERROR(INDEX('Inventory'!$E$2:$E$71,MATCH(E297,'Inventory'!$A$2:$A$71,0)),0)</x:f>
        <x:v>637</x:v>
      </x:c>
      <x:c r="K297" s="76" t="n">
        <x:f>IFERROR(INDEX('Inventory'!$F$2:$F$71,MATCH(E297,'Inventory'!$A$2:$A$71,0)),0)</x:f>
        <x:v>888</x:v>
      </x:c>
      <x:c r="L297" s="76" t="n">
        <x:f>SUMIFS('Open_POs'!$D$2:$D$26,'Open_POs'!$B$2:$B$26,E297,'Open_POs'!$E$2:$E$26,"&lt;="&amp;B297)</x:f>
        <x:v>1000</x:v>
      </x:c>
      <x:c r="M297" s="76" t="n">
        <x:f>J297+L297</x:f>
        <x:v>1637</x:v>
      </x:c>
      <x:c r="N297" s="76" t="n">
        <x:f>SUMIFS($I$2:I297,$E$2:E297,E297)</x:f>
        <x:v>12131.399999999998</x:v>
      </x:c>
      <x:c r="O297" s="76" t="n">
        <x:f>M297-N297</x:f>
        <x:v>-10494.399999999998</x:v>
      </x:c>
      <x:c r="P297" s="71" t="str">
        <x:f>IF(O297&lt;0,"SHORT",IF(O297&lt;K297,"BELOW TARGET","COVERED"))</x:f>
        <x:v>SHORT</x:v>
      </x:c>
      <x:c r="Q297" s="63" t="str">
        <x:f>IF(AND(P297="SHORT",COUNTIFS($E$2:E297,E297,$P$2:P297,"SHORT")=1),B297,"")</x:f>
      </x:c>
    </x:row>
    <x:row r="298" ht="15" customHeight="1">
      <x:c r="A298" s="71" t="str">
        <x:v>SO-26072</x:v>
      </x:c>
      <x:c r="B298" s="75" t="n">
        <x:v>46276</x:v>
      </x:c>
      <x:c r="C298" s="71" t="str">
        <x:v>High</x:v>
      </x:c>
      <x:c r="D298" s="71" t="str">
        <x:v>FG-019</x:v>
      </x:c>
      <x:c r="E298" s="71" t="str">
        <x:v>RM-062</x:v>
      </x:c>
      <x:c r="F298" s="71" t="str">
        <x:v>Pigment 062</x:v>
      </x:c>
      <x:c r="G298" s="76" t="n">
        <x:v>100</x:v>
      </x:c>
      <x:c r="H298" s="76" t="n">
        <x:v>9</x:v>
      </x:c>
      <x:c r="I298" s="76" t="n">
        <x:f>G298*H298</x:f>
        <x:v>900</x:v>
      </x:c>
      <x:c r="J298" s="76" t="n">
        <x:f>IFERROR(INDEX('Inventory'!$E$2:$E$71,MATCH(E298,'Inventory'!$A$2:$A$71,0)),0)</x:f>
        <x:v>7110</x:v>
      </x:c>
      <x:c r="K298" s="76" t="n">
        <x:f>IFERROR(INDEX('Inventory'!$F$2:$F$71,MATCH(E298,'Inventory'!$A$2:$A$71,0)),0)</x:f>
        <x:v>1339</x:v>
      </x:c>
      <x:c r="L298" s="76" t="n">
        <x:f>SUMIFS('Open_POs'!$D$2:$D$26,'Open_POs'!$B$2:$B$26,E298,'Open_POs'!$E$2:$E$26,"&lt;="&amp;B298)</x:f>
        <x:v>0</x:v>
      </x:c>
      <x:c r="M298" s="76" t="n">
        <x:f>J298+L298</x:f>
        <x:v>7110</x:v>
      </x:c>
      <x:c r="N298" s="76" t="n">
        <x:f>SUMIFS($I$2:I298,$E$2:E298,E298)</x:f>
        <x:v>3107</x:v>
      </x:c>
      <x:c r="O298" s="76" t="n">
        <x:f>M298-N298</x:f>
        <x:v>4003</x:v>
      </x:c>
      <x:c r="P298" s="71" t="str">
        <x:f>IF(O298&lt;0,"SHORT",IF(O298&lt;K298,"BELOW TARGET","COVERED"))</x:f>
        <x:v>COVERED</x:v>
      </x:c>
      <x:c r="Q298" s="63" t="str">
        <x:f>IF(AND(P298="SHORT",COUNTIFS($E$2:E298,E298,$P$2:P298,"SHORT")=1),B298,"")</x:f>
      </x:c>
    </x:row>
    <x:row r="299" ht="15" customHeight="1">
      <x:c r="A299" s="71" t="str">
        <x:v>SO-26081</x:v>
      </x:c>
      <x:c r="B299" s="75" t="n">
        <x:v>46276</x:v>
      </x:c>
      <x:c r="C299" s="71" t="str">
        <x:v>Normal</x:v>
      </x:c>
      <x:c r="D299" s="71" t="str">
        <x:v>FG-018</x:v>
      </x:c>
      <x:c r="E299" s="71" t="str">
        <x:v>RM-009</x:v>
      </x:c>
      <x:c r="F299" s="71" t="str">
        <x:v>Additive 009</x:v>
      </x:c>
      <x:c r="G299" s="76" t="n">
        <x:v>30</x:v>
      </x:c>
      <x:c r="H299" s="76" t="n">
        <x:v>13.87</x:v>
      </x:c>
      <x:c r="I299" s="76" t="n">
        <x:f>G299*H299</x:f>
        <x:v>416.09999999999997</x:v>
      </x:c>
      <x:c r="J299" s="76" t="n">
        <x:f>IFERROR(INDEX('Inventory'!$E$2:$E$71,MATCH(E299,'Inventory'!$A$2:$A$71,0)),0)</x:f>
        <x:v>13813</x:v>
      </x:c>
      <x:c r="K299" s="76" t="n">
        <x:f>IFERROR(INDEX('Inventory'!$F$2:$F$71,MATCH(E299,'Inventory'!$A$2:$A$71,0)),0)</x:f>
        <x:v>1377</x:v>
      </x:c>
      <x:c r="L299" s="76" t="n">
        <x:f>SUMIFS('Open_POs'!$D$2:$D$26,'Open_POs'!$B$2:$B$26,E299,'Open_POs'!$E$2:$E$26,"&lt;="&amp;B299)</x:f>
        <x:v>0</x:v>
      </x:c>
      <x:c r="M299" s="76" t="n">
        <x:f>J299+L299</x:f>
        <x:v>13813</x:v>
      </x:c>
      <x:c r="N299" s="76" t="n">
        <x:f>SUMIFS($I$2:I299,$E$2:E299,E299)</x:f>
        <x:v>34642.3</x:v>
      </x:c>
      <x:c r="O299" s="76" t="n">
        <x:f>M299-N299</x:f>
        <x:v>-20829.300000000003</x:v>
      </x:c>
      <x:c r="P299" s="71" t="str">
        <x:f>IF(O299&lt;0,"SHORT",IF(O299&lt;K299,"BELOW TARGET","COVERED"))</x:f>
        <x:v>SHORT</x:v>
      </x:c>
      <x:c r="Q299" s="63" t="str">
        <x:f>IF(AND(P299="SHORT",COUNTIFS($E$2:E299,E299,$P$2:P299,"SHORT")=1),B299,"")</x:f>
      </x:c>
    </x:row>
    <x:row r="300" ht="15" customHeight="1">
      <x:c r="A300" s="71" t="str">
        <x:v>SO-26081</x:v>
      </x:c>
      <x:c r="B300" s="75" t="n">
        <x:v>46276</x:v>
      </x:c>
      <x:c r="C300" s="71" t="str">
        <x:v>Normal</x:v>
      </x:c>
      <x:c r="D300" s="71" t="str">
        <x:v>FG-018</x:v>
      </x:c>
      <x:c r="E300" s="71" t="str">
        <x:v>RM-015</x:v>
      </x:c>
      <x:c r="F300" s="71" t="str">
        <x:v>Packaging 015</x:v>
      </x:c>
      <x:c r="G300" s="76" t="n">
        <x:v>30</x:v>
      </x:c>
      <x:c r="H300" s="76" t="n">
        <x:v>70.16</x:v>
      </x:c>
      <x:c r="I300" s="76" t="n">
        <x:f>G300*H300</x:f>
        <x:v>2104.7999999999997</x:v>
      </x:c>
      <x:c r="J300" s="76" t="n">
        <x:f>IFERROR(INDEX('Inventory'!$E$2:$E$71,MATCH(E300,'Inventory'!$A$2:$A$71,0)),0)</x:f>
        <x:v>8914</x:v>
      </x:c>
      <x:c r="K300" s="76" t="n">
        <x:f>IFERROR(INDEX('Inventory'!$F$2:$F$71,MATCH(E300,'Inventory'!$A$2:$A$71,0)),0)</x:f>
        <x:v>1380</x:v>
      </x:c>
      <x:c r="L300" s="76" t="n">
        <x:f>SUMIFS('Open_POs'!$D$2:$D$26,'Open_POs'!$B$2:$B$26,E300,'Open_POs'!$E$2:$E$26,"&lt;="&amp;B300)</x:f>
        <x:v>10000</x:v>
      </x:c>
      <x:c r="M300" s="76" t="n">
        <x:f>J300+L300</x:f>
        <x:v>18914</x:v>
      </x:c>
      <x:c r="N300" s="76" t="n">
        <x:f>SUMIFS($I$2:I300,$E$2:E300,E300)</x:f>
        <x:v>10724.8</x:v>
      </x:c>
      <x:c r="O300" s="76" t="n">
        <x:f>M300-N300</x:f>
        <x:v>8189.200000000001</x:v>
      </x:c>
      <x:c r="P300" s="71" t="str">
        <x:f>IF(O300&lt;0,"SHORT",IF(O300&lt;K300,"BELOW TARGET","COVERED"))</x:f>
        <x:v>COVERED</x:v>
      </x:c>
      <x:c r="Q300" s="63" t="str">
        <x:f>IF(AND(P300="SHORT",COUNTIFS($E$2:E300,E300,$P$2:P300,"SHORT")=1),B300,"")</x:f>
      </x:c>
    </x:row>
    <x:row r="301" ht="15" customHeight="1">
      <x:c r="A301" s="71" t="str">
        <x:v>SO-26081</x:v>
      </x:c>
      <x:c r="B301" s="75" t="n">
        <x:v>46276</x:v>
      </x:c>
      <x:c r="C301" s="71" t="str">
        <x:v>Normal</x:v>
      </x:c>
      <x:c r="D301" s="71" t="str">
        <x:v>FG-018</x:v>
      </x:c>
      <x:c r="E301" s="71" t="str">
        <x:v>RM-024</x:v>
      </x:c>
      <x:c r="F301" s="71" t="str">
        <x:v>Additive 024</x:v>
      </x:c>
      <x:c r="G301" s="76" t="n">
        <x:v>30</x:v>
      </x:c>
      <x:c r="H301" s="76" t="n">
        <x:v>44.72</x:v>
      </x:c>
      <x:c r="I301" s="76" t="n">
        <x:f>G301*H301</x:f>
        <x:v>1341.6</x:v>
      </x:c>
      <x:c r="J301" s="76" t="n">
        <x:f>IFERROR(INDEX('Inventory'!$E$2:$E$71,MATCH(E301,'Inventory'!$A$2:$A$71,0)),0)</x:f>
        <x:v>542</x:v>
      </x:c>
      <x:c r="K301" s="76" t="n">
        <x:f>IFERROR(INDEX('Inventory'!$F$2:$F$71,MATCH(E301,'Inventory'!$A$2:$A$71,0)),0)</x:f>
        <x:v>1356</x:v>
      </x:c>
      <x:c r="L301" s="76" t="n">
        <x:f>SUMIFS('Open_POs'!$D$2:$D$26,'Open_POs'!$B$2:$B$26,E301,'Open_POs'!$E$2:$E$26,"&lt;="&amp;B301)</x:f>
        <x:v>0</x:v>
      </x:c>
      <x:c r="M301" s="76" t="n">
        <x:f>J301+L301</x:f>
        <x:v>542</x:v>
      </x:c>
      <x:c r="N301" s="76" t="n">
        <x:f>SUMIFS($I$2:I301,$E$2:E301,E301)</x:f>
        <x:v>26134.4</x:v>
      </x:c>
      <x:c r="O301" s="76" t="n">
        <x:f>M301-N301</x:f>
        <x:v>-25592.4</x:v>
      </x:c>
      <x:c r="P301" s="71" t="str">
        <x:f>IF(O301&lt;0,"SHORT",IF(O301&lt;K301,"BELOW TARGET","COVERED"))</x:f>
        <x:v>SHORT</x:v>
      </x:c>
      <x:c r="Q301" s="63" t="str">
        <x:f>IF(AND(P301="SHORT",COUNTIFS($E$2:E301,E301,$P$2:P301,"SHORT")=1),B301,"")</x:f>
      </x:c>
    </x:row>
    <x:row r="302" ht="15" customHeight="1">
      <x:c r="A302" s="71" t="str">
        <x:v>SO-26081</x:v>
      </x:c>
      <x:c r="B302" s="75" t="n">
        <x:v>46276</x:v>
      </x:c>
      <x:c r="C302" s="71" t="str">
        <x:v>Normal</x:v>
      </x:c>
      <x:c r="D302" s="71" t="str">
        <x:v>FG-018</x:v>
      </x:c>
      <x:c r="E302" s="71" t="str">
        <x:v>RM-025</x:v>
      </x:c>
      <x:c r="F302" s="71" t="str">
        <x:v>Packaging 025</x:v>
      </x:c>
      <x:c r="G302" s="76" t="n">
        <x:v>30</x:v>
      </x:c>
      <x:c r="H302" s="76" t="n">
        <x:v>67.62</x:v>
      </x:c>
      <x:c r="I302" s="76" t="n">
        <x:f>G302*H302</x:f>
        <x:v>2028.6000000000001</x:v>
      </x:c>
      <x:c r="J302" s="76" t="n">
        <x:f>IFERROR(INDEX('Inventory'!$E$2:$E$71,MATCH(E302,'Inventory'!$A$2:$A$71,0)),0)</x:f>
        <x:v>2469</x:v>
      </x:c>
      <x:c r="K302" s="76" t="n">
        <x:f>IFERROR(INDEX('Inventory'!$F$2:$F$71,MATCH(E302,'Inventory'!$A$2:$A$71,0)),0)</x:f>
        <x:v>229</x:v>
      </x:c>
      <x:c r="L302" s="76" t="n">
        <x:f>SUMIFS('Open_POs'!$D$2:$D$26,'Open_POs'!$B$2:$B$26,E302,'Open_POs'!$E$2:$E$26,"&lt;="&amp;B302)</x:f>
        <x:v>10000</x:v>
      </x:c>
      <x:c r="M302" s="76" t="n">
        <x:f>J302+L302</x:f>
        <x:v>12469</x:v>
      </x:c>
      <x:c r="N302" s="76" t="n">
        <x:f>SUMIFS($I$2:I302,$E$2:E302,E302)</x:f>
        <x:v>26319.899999999994</x:v>
      </x:c>
      <x:c r="O302" s="76" t="n">
        <x:f>M302-N302</x:f>
        <x:v>-13850.899999999994</x:v>
      </x:c>
      <x:c r="P302" s="71" t="str">
        <x:f>IF(O302&lt;0,"SHORT",IF(O302&lt;K302,"BELOW TARGET","COVERED"))</x:f>
        <x:v>SHORT</x:v>
      </x:c>
      <x:c r="Q302" s="63" t="str">
        <x:f>IF(AND(P302="SHORT",COUNTIFS($E$2:E302,E302,$P$2:P302,"SHORT")=1),B302,"")</x:f>
      </x:c>
    </x:row>
    <x:row r="303" ht="15" customHeight="1">
      <x:c r="A303" s="71" t="str">
        <x:v>SO-26081</x:v>
      </x:c>
      <x:c r="B303" s="75" t="n">
        <x:v>46276</x:v>
      </x:c>
      <x:c r="C303" s="71" t="str">
        <x:v>Normal</x:v>
      </x:c>
      <x:c r="D303" s="71" t="str">
        <x:v>FG-018</x:v>
      </x:c>
      <x:c r="E303" s="71" t="str">
        <x:v>RM-032</x:v>
      </x:c>
      <x:c r="F303" s="71" t="str">
        <x:v>Pigment 032</x:v>
      </x:c>
      <x:c r="G303" s="76" t="n">
        <x:v>30</x:v>
      </x:c>
      <x:c r="H303" s="76" t="n">
        <x:v>50.14</x:v>
      </x:c>
      <x:c r="I303" s="76" t="n">
        <x:f>G303*H303</x:f>
        <x:v>1504.2</x:v>
      </x:c>
      <x:c r="J303" s="76" t="n">
        <x:f>IFERROR(INDEX('Inventory'!$E$2:$E$71,MATCH(E303,'Inventory'!$A$2:$A$71,0)),0)</x:f>
        <x:v>674</x:v>
      </x:c>
      <x:c r="K303" s="76" t="n">
        <x:f>IFERROR(INDEX('Inventory'!$F$2:$F$71,MATCH(E303,'Inventory'!$A$2:$A$71,0)),0)</x:f>
        <x:v>1056</x:v>
      </x:c>
      <x:c r="L303" s="76" t="n">
        <x:f>SUMIFS('Open_POs'!$D$2:$D$26,'Open_POs'!$B$2:$B$26,E303,'Open_POs'!$E$2:$E$26,"&lt;="&amp;B303)</x:f>
        <x:v>0</x:v>
      </x:c>
      <x:c r="M303" s="76" t="n">
        <x:f>J303+L303</x:f>
        <x:v>674</x:v>
      </x:c>
      <x:c r="N303" s="76" t="n">
        <x:f>SUMIFS($I$2:I303,$E$2:E303,E303)</x:f>
        <x:v>44271.899999999994</x:v>
      </x:c>
      <x:c r="O303" s="76" t="n">
        <x:f>M303-N303</x:f>
        <x:v>-43597.899999999994</x:v>
      </x:c>
      <x:c r="P303" s="71" t="str">
        <x:f>IF(O303&lt;0,"SHORT",IF(O303&lt;K303,"BELOW TARGET","COVERED"))</x:f>
        <x:v>SHORT</x:v>
      </x:c>
      <x:c r="Q303" s="63" t="str">
        <x:f>IF(AND(P303="SHORT",COUNTIFS($E$2:E303,E303,$P$2:P303,"SHORT")=1),B303,"")</x:f>
      </x:c>
    </x:row>
    <x:row r="304" ht="15" customHeight="1">
      <x:c r="A304" s="71" t="str">
        <x:v>SO-26081</x:v>
      </x:c>
      <x:c r="B304" s="75" t="n">
        <x:v>46276</x:v>
      </x:c>
      <x:c r="C304" s="71" t="str">
        <x:v>Normal</x:v>
      </x:c>
      <x:c r="D304" s="71" t="str">
        <x:v>FG-018</x:v>
      </x:c>
      <x:c r="E304" s="71" t="str">
        <x:v>RM-034</x:v>
      </x:c>
      <x:c r="F304" s="71" t="str">
        <x:v>Additive 034</x:v>
      </x:c>
      <x:c r="G304" s="76" t="n">
        <x:v>30</x:v>
      </x:c>
      <x:c r="H304" s="76" t="n">
        <x:v>69.42</x:v>
      </x:c>
      <x:c r="I304" s="76" t="n">
        <x:f>G304*H304</x:f>
        <x:v>2082.6</x:v>
      </x:c>
      <x:c r="J304" s="76" t="n">
        <x:f>IFERROR(INDEX('Inventory'!$E$2:$E$71,MATCH(E304,'Inventory'!$A$2:$A$71,0)),0)</x:f>
        <x:v>1971</x:v>
      </x:c>
      <x:c r="K304" s="76" t="n">
        <x:f>IFERROR(INDEX('Inventory'!$F$2:$F$71,MATCH(E304,'Inventory'!$A$2:$A$71,0)),0)</x:f>
        <x:v>1061</x:v>
      </x:c>
      <x:c r="L304" s="76" t="n">
        <x:f>SUMIFS('Open_POs'!$D$2:$D$26,'Open_POs'!$B$2:$B$26,E304,'Open_POs'!$E$2:$E$26,"&lt;="&amp;B304)</x:f>
        <x:v>0</x:v>
      </x:c>
      <x:c r="M304" s="76" t="n">
        <x:f>J304+L304</x:f>
        <x:v>1971</x:v>
      </x:c>
      <x:c r="N304" s="76" t="n">
        <x:f>SUMIFS($I$2:I304,$E$2:E304,E304)</x:f>
        <x:v>41671</x:v>
      </x:c>
      <x:c r="O304" s="76" t="n">
        <x:f>M304-N304</x:f>
        <x:v>-39700</x:v>
      </x:c>
      <x:c r="P304" s="71" t="str">
        <x:f>IF(O304&lt;0,"SHORT",IF(O304&lt;K304,"BELOW TARGET","COVERED"))</x:f>
        <x:v>SHORT</x:v>
      </x:c>
      <x:c r="Q304" s="63" t="str">
        <x:f>IF(AND(P304="SHORT",COUNTIFS($E$2:E304,E304,$P$2:P304,"SHORT")=1),B304,"")</x:f>
      </x:c>
    </x:row>
    <x:row r="305" ht="15" customHeight="1">
      <x:c r="A305" s="71" t="str">
        <x:v>SO-26081</x:v>
      </x:c>
      <x:c r="B305" s="75" t="n">
        <x:v>46276</x:v>
      </x:c>
      <x:c r="C305" s="71" t="str">
        <x:v>Normal</x:v>
      </x:c>
      <x:c r="D305" s="71" t="str">
        <x:v>FG-018</x:v>
      </x:c>
      <x:c r="E305" s="71" t="str">
        <x:v>RM-038</x:v>
      </x:c>
      <x:c r="F305" s="71" t="str">
        <x:v>Filler 038</x:v>
      </x:c>
      <x:c r="G305" s="76" t="n">
        <x:v>30</x:v>
      </x:c>
      <x:c r="H305" s="76" t="n">
        <x:v>40.52</x:v>
      </x:c>
      <x:c r="I305" s="76" t="n">
        <x:f>G305*H305</x:f>
        <x:v>1215.6000000000001</x:v>
      </x:c>
      <x:c r="J305" s="76" t="n">
        <x:f>IFERROR(INDEX('Inventory'!$E$2:$E$71,MATCH(E305,'Inventory'!$A$2:$A$71,0)),0)</x:f>
        <x:v>10042</x:v>
      </x:c>
      <x:c r="K305" s="76" t="n">
        <x:f>IFERROR(INDEX('Inventory'!$F$2:$F$71,MATCH(E305,'Inventory'!$A$2:$A$71,0)),0)</x:f>
        <x:v>1452</x:v>
      </x:c>
      <x:c r="L305" s="76" t="n">
        <x:f>SUMIFS('Open_POs'!$D$2:$D$26,'Open_POs'!$B$2:$B$26,E305,'Open_POs'!$E$2:$E$26,"&lt;="&amp;B305)</x:f>
        <x:v>10000</x:v>
      </x:c>
      <x:c r="M305" s="76" t="n">
        <x:f>J305+L305</x:f>
        <x:v>20042</x:v>
      </x:c>
      <x:c r="N305" s="76" t="n">
        <x:f>SUMIFS($I$2:I305,$E$2:E305,E305)</x:f>
        <x:v>22978.5</x:v>
      </x:c>
      <x:c r="O305" s="76" t="n">
        <x:f>M305-N305</x:f>
        <x:v>-2936.5</x:v>
      </x:c>
      <x:c r="P305" s="71" t="str">
        <x:f>IF(O305&lt;0,"SHORT",IF(O305&lt;K305,"BELOW TARGET","COVERED"))</x:f>
        <x:v>SHORT</x:v>
      </x:c>
      <x:c r="Q305" s="63" t="str">
        <x:f>IF(AND(P305="SHORT",COUNTIFS($E$2:E305,E305,$P$2:P305,"SHORT")=1),B305,"")</x:f>
      </x:c>
    </x:row>
    <x:row r="306" ht="15" customHeight="1">
      <x:c r="A306" s="71" t="str">
        <x:v>SO-26081</x:v>
      </x:c>
      <x:c r="B306" s="75" t="n">
        <x:v>46276</x:v>
      </x:c>
      <x:c r="C306" s="71" t="str">
        <x:v>Normal</x:v>
      </x:c>
      <x:c r="D306" s="71" t="str">
        <x:v>FG-018</x:v>
      </x:c>
      <x:c r="E306" s="71" t="str">
        <x:v>RM-067</x:v>
      </x:c>
      <x:c r="F306" s="71" t="str">
        <x:v>Pigment 067</x:v>
      </x:c>
      <x:c r="G306" s="76" t="n">
        <x:v>30</x:v>
      </x:c>
      <x:c r="H306" s="76" t="n">
        <x:v>26.57</x:v>
      </x:c>
      <x:c r="I306" s="76" t="n">
        <x:f>G306*H306</x:f>
        <x:v>797.1</x:v>
      </x:c>
      <x:c r="J306" s="76" t="n">
        <x:f>IFERROR(INDEX('Inventory'!$E$2:$E$71,MATCH(E306,'Inventory'!$A$2:$A$71,0)),0)</x:f>
        <x:v>10786</x:v>
      </x:c>
      <x:c r="K306" s="76" t="n">
        <x:f>IFERROR(INDEX('Inventory'!$F$2:$F$71,MATCH(E306,'Inventory'!$A$2:$A$71,0)),0)</x:f>
        <x:v>335</x:v>
      </x:c>
      <x:c r="L306" s="76" t="n">
        <x:f>SUMIFS('Open_POs'!$D$2:$D$26,'Open_POs'!$B$2:$B$26,E306,'Open_POs'!$E$2:$E$26,"&lt;="&amp;B306)</x:f>
        <x:v>0</x:v>
      </x:c>
      <x:c r="M306" s="76" t="n">
        <x:f>J306+L306</x:f>
        <x:v>10786</x:v>
      </x:c>
      <x:c r="N306" s="76" t="n">
        <x:f>SUMIFS($I$2:I306,$E$2:E306,E306)</x:f>
        <x:v>15337</x:v>
      </x:c>
      <x:c r="O306" s="76" t="n">
        <x:f>M306-N306</x:f>
        <x:v>-4551</x:v>
      </x:c>
      <x:c r="P306" s="71" t="str">
        <x:f>IF(O306&lt;0,"SHORT",IF(O306&lt;K306,"BELOW TARGET","COVERED"))</x:f>
        <x:v>SHORT</x:v>
      </x:c>
      <x:c r="Q306" s="63" t="str">
        <x:f>IF(AND(P306="SHORT",COUNTIFS($E$2:E306,E306,$P$2:P306,"SHORT")=1),B306,"")</x:f>
      </x:c>
    </x:row>
    <x:row r="307" ht="15" customHeight="1">
      <x:c r="A307" s="71" t="str">
        <x:v>SO-26046</x:v>
      </x:c>
      <x:c r="B307" s="75" t="n">
        <x:v>46278</x:v>
      </x:c>
      <x:c r="C307" s="71" t="str">
        <x:v>Normal</x:v>
      </x:c>
      <x:c r="D307" s="71" t="str">
        <x:v>FG-017</x:v>
      </x:c>
      <x:c r="E307" s="71" t="str">
        <x:v>RM-003</x:v>
      </x:c>
      <x:c r="F307" s="71" t="str">
        <x:v>Filler 003</x:v>
      </x:c>
      <x:c r="G307" s="76" t="n">
        <x:v>40</x:v>
      </x:c>
      <x:c r="H307" s="76" t="n">
        <x:v>60.21</x:v>
      </x:c>
      <x:c r="I307" s="76" t="n">
        <x:f>G307*H307</x:f>
        <x:v>2408.4</x:v>
      </x:c>
      <x:c r="J307" s="76" t="n">
        <x:f>IFERROR(INDEX('Inventory'!$E$2:$E$71,MATCH(E307,'Inventory'!$A$2:$A$71,0)),0)</x:f>
        <x:v>15564</x:v>
      </x:c>
      <x:c r="K307" s="76" t="n">
        <x:f>IFERROR(INDEX('Inventory'!$F$2:$F$71,MATCH(E307,'Inventory'!$A$2:$A$71,0)),0)</x:f>
        <x:v>174</x:v>
      </x:c>
      <x:c r="L307" s="76" t="n">
        <x:f>SUMIFS('Open_POs'!$D$2:$D$26,'Open_POs'!$B$2:$B$26,E307,'Open_POs'!$E$2:$E$26,"&lt;="&amp;B307)</x:f>
        <x:v>0</x:v>
      </x:c>
      <x:c r="M307" s="76" t="n">
        <x:f>J307+L307</x:f>
        <x:v>15564</x:v>
      </x:c>
      <x:c r="N307" s="76" t="n">
        <x:f>SUMIFS($I$2:I307,$E$2:E307,E307)</x:f>
        <x:v>6623.1</x:v>
      </x:c>
      <x:c r="O307" s="76" t="n">
        <x:f>M307-N307</x:f>
        <x:v>8940.9</x:v>
      </x:c>
      <x:c r="P307" s="71" t="str">
        <x:f>IF(O307&lt;0,"SHORT",IF(O307&lt;K307,"BELOW TARGET","COVERED"))</x:f>
        <x:v>COVERED</x:v>
      </x:c>
      <x:c r="Q307" s="63" t="str">
        <x:f>IF(AND(P307="SHORT",COUNTIFS($E$2:E307,E307,$P$2:P307,"SHORT")=1),B307,"")</x:f>
      </x:c>
    </x:row>
    <x:row r="308" ht="15" customHeight="1">
      <x:c r="A308" s="71" t="str">
        <x:v>SO-26046</x:v>
      </x:c>
      <x:c r="B308" s="75" t="n">
        <x:v>46278</x:v>
      </x:c>
      <x:c r="C308" s="71" t="str">
        <x:v>Normal</x:v>
      </x:c>
      <x:c r="D308" s="71" t="str">
        <x:v>FG-017</x:v>
      </x:c>
      <x:c r="E308" s="71" t="str">
        <x:v>RM-005</x:v>
      </x:c>
      <x:c r="F308" s="71" t="str">
        <x:v>Packaging 005</x:v>
      </x:c>
      <x:c r="G308" s="76" t="n">
        <x:v>40</x:v>
      </x:c>
      <x:c r="H308" s="76" t="n">
        <x:v>50.91</x:v>
      </x:c>
      <x:c r="I308" s="76" t="n">
        <x:f>G308*H308</x:f>
        <x:v>2036.3999999999999</x:v>
      </x:c>
      <x:c r="J308" s="76" t="n">
        <x:f>IFERROR(INDEX('Inventory'!$E$2:$E$71,MATCH(E308,'Inventory'!$A$2:$A$71,0)),0)</x:f>
        <x:v>8699</x:v>
      </x:c>
      <x:c r="K308" s="76" t="n">
        <x:f>IFERROR(INDEX('Inventory'!$F$2:$F$71,MATCH(E308,'Inventory'!$A$2:$A$71,0)),0)</x:f>
        <x:v>1174</x:v>
      </x:c>
      <x:c r="L308" s="76" t="n">
        <x:f>SUMIFS('Open_POs'!$D$2:$D$26,'Open_POs'!$B$2:$B$26,E308,'Open_POs'!$E$2:$E$26,"&lt;="&amp;B308)</x:f>
        <x:v>0</x:v>
      </x:c>
      <x:c r="M308" s="76" t="n">
        <x:f>J308+L308</x:f>
        <x:v>8699</x:v>
      </x:c>
      <x:c r="N308" s="76" t="n">
        <x:f>SUMIFS($I$2:I308,$E$2:E308,E308)</x:f>
        <x:v>24505</x:v>
      </x:c>
      <x:c r="O308" s="76" t="n">
        <x:f>M308-N308</x:f>
        <x:v>-15806</x:v>
      </x:c>
      <x:c r="P308" s="71" t="str">
        <x:f>IF(O308&lt;0,"SHORT",IF(O308&lt;K308,"BELOW TARGET","COVERED"))</x:f>
        <x:v>SHORT</x:v>
      </x:c>
      <x:c r="Q308" s="63" t="str">
        <x:f>IF(AND(P308="SHORT",COUNTIFS($E$2:E308,E308,$P$2:P308,"SHORT")=1),B308,"")</x:f>
      </x:c>
    </x:row>
    <x:row r="309" ht="15" customHeight="1">
      <x:c r="A309" s="71" t="str">
        <x:v>SO-26046</x:v>
      </x:c>
      <x:c r="B309" s="75" t="n">
        <x:v>46278</x:v>
      </x:c>
      <x:c r="C309" s="71" t="str">
        <x:v>Normal</x:v>
      </x:c>
      <x:c r="D309" s="71" t="str">
        <x:v>FG-017</x:v>
      </x:c>
      <x:c r="E309" s="71" t="str">
        <x:v>RM-025</x:v>
      </x:c>
      <x:c r="F309" s="71" t="str">
        <x:v>Packaging 025</x:v>
      </x:c>
      <x:c r="G309" s="76" t="n">
        <x:v>40</x:v>
      </x:c>
      <x:c r="H309" s="76" t="n">
        <x:v>41.44</x:v>
      </x:c>
      <x:c r="I309" s="76" t="n">
        <x:f>G309*H309</x:f>
        <x:v>1657.6</x:v>
      </x:c>
      <x:c r="J309" s="76" t="n">
        <x:f>IFERROR(INDEX('Inventory'!$E$2:$E$71,MATCH(E309,'Inventory'!$A$2:$A$71,0)),0)</x:f>
        <x:v>2469</x:v>
      </x:c>
      <x:c r="K309" s="76" t="n">
        <x:f>IFERROR(INDEX('Inventory'!$F$2:$F$71,MATCH(E309,'Inventory'!$A$2:$A$71,0)),0)</x:f>
        <x:v>229</x:v>
      </x:c>
      <x:c r="L309" s="76" t="n">
        <x:f>SUMIFS('Open_POs'!$D$2:$D$26,'Open_POs'!$B$2:$B$26,E309,'Open_POs'!$E$2:$E$26,"&lt;="&amp;B309)</x:f>
        <x:v>10000</x:v>
      </x:c>
      <x:c r="M309" s="76" t="n">
        <x:f>J309+L309</x:f>
        <x:v>12469</x:v>
      </x:c>
      <x:c r="N309" s="76" t="n">
        <x:f>SUMIFS($I$2:I309,$E$2:E309,E309)</x:f>
        <x:v>27977.499999999993</x:v>
      </x:c>
      <x:c r="O309" s="76" t="n">
        <x:f>M309-N309</x:f>
        <x:v>-15508.499999999993</x:v>
      </x:c>
      <x:c r="P309" s="71" t="str">
        <x:f>IF(O309&lt;0,"SHORT",IF(O309&lt;K309,"BELOW TARGET","COVERED"))</x:f>
        <x:v>SHORT</x:v>
      </x:c>
      <x:c r="Q309" s="63" t="str">
        <x:f>IF(AND(P309="SHORT",COUNTIFS($E$2:E309,E309,$P$2:P309,"SHORT")=1),B309,"")</x:f>
      </x:c>
    </x:row>
    <x:row r="310" ht="15" customHeight="1">
      <x:c r="A310" s="71" t="str">
        <x:v>SO-26046</x:v>
      </x:c>
      <x:c r="B310" s="75" t="n">
        <x:v>46278</x:v>
      </x:c>
      <x:c r="C310" s="71" t="str">
        <x:v>Normal</x:v>
      </x:c>
      <x:c r="D310" s="71" t="str">
        <x:v>FG-017</x:v>
      </x:c>
      <x:c r="E310" s="71" t="str">
        <x:v>RM-041</x:v>
      </x:c>
      <x:c r="F310" s="71" t="str">
        <x:v>Resin 041</x:v>
      </x:c>
      <x:c r="G310" s="76" t="n">
        <x:v>40</x:v>
      </x:c>
      <x:c r="H310" s="76" t="n">
        <x:v>38.8</x:v>
      </x:c>
      <x:c r="I310" s="76" t="n">
        <x:f>G310*H310</x:f>
        <x:v>1552</x:v>
      </x:c>
      <x:c r="J310" s="76" t="n">
        <x:f>IFERROR(INDEX('Inventory'!$E$2:$E$71,MATCH(E310,'Inventory'!$A$2:$A$71,0)),0)</x:f>
        <x:v>4635</x:v>
      </x:c>
      <x:c r="K310" s="76" t="n">
        <x:f>IFERROR(INDEX('Inventory'!$F$2:$F$71,MATCH(E310,'Inventory'!$A$2:$A$71,0)),0)</x:f>
        <x:v>987</x:v>
      </x:c>
      <x:c r="L310" s="76" t="n">
        <x:f>SUMIFS('Open_POs'!$D$2:$D$26,'Open_POs'!$B$2:$B$26,E310,'Open_POs'!$E$2:$E$26,"&lt;="&amp;B310)</x:f>
        <x:v>0</x:v>
      </x:c>
      <x:c r="M310" s="76" t="n">
        <x:f>J310+L310</x:f>
        <x:v>4635</x:v>
      </x:c>
      <x:c r="N310" s="76" t="n">
        <x:f>SUMIFS($I$2:I310,$E$2:E310,E310)</x:f>
        <x:v>9274.2</x:v>
      </x:c>
      <x:c r="O310" s="76" t="n">
        <x:f>M310-N310</x:f>
        <x:v>-4639.200000000001</x:v>
      </x:c>
      <x:c r="P310" s="71" t="str">
        <x:f>IF(O310&lt;0,"SHORT",IF(O310&lt;K310,"BELOW TARGET","COVERED"))</x:f>
        <x:v>SHORT</x:v>
      </x:c>
      <x:c r="Q310" s="63" t="str">
        <x:f>IF(AND(P310="SHORT",COUNTIFS($E$2:E310,E310,$P$2:P310,"SHORT")=1),B310,"")</x:f>
      </x:c>
    </x:row>
    <x:row r="311" ht="15" customHeight="1">
      <x:c r="A311" s="71" t="str">
        <x:v>SO-26046</x:v>
      </x:c>
      <x:c r="B311" s="75" t="n">
        <x:v>46278</x:v>
      </x:c>
      <x:c r="C311" s="71" t="str">
        <x:v>Normal</x:v>
      </x:c>
      <x:c r="D311" s="71" t="str">
        <x:v>FG-017</x:v>
      </x:c>
      <x:c r="E311" s="71" t="str">
        <x:v>RM-056</x:v>
      </x:c>
      <x:c r="F311" s="71" t="str">
        <x:v>Resin 056</x:v>
      </x:c>
      <x:c r="G311" s="76" t="n">
        <x:v>40</x:v>
      </x:c>
      <x:c r="H311" s="76" t="n">
        <x:v>73.02</x:v>
      </x:c>
      <x:c r="I311" s="76" t="n">
        <x:f>G311*H311</x:f>
        <x:v>2920.7999999999997</x:v>
      </x:c>
      <x:c r="J311" s="76" t="n">
        <x:f>IFERROR(INDEX('Inventory'!$E$2:$E$71,MATCH(E311,'Inventory'!$A$2:$A$71,0)),0)</x:f>
        <x:v>862</x:v>
      </x:c>
      <x:c r="K311" s="76" t="n">
        <x:f>IFERROR(INDEX('Inventory'!$F$2:$F$71,MATCH(E311,'Inventory'!$A$2:$A$71,0)),0)</x:f>
        <x:v>108</x:v>
      </x:c>
      <x:c r="L311" s="76" t="n">
        <x:f>SUMIFS('Open_POs'!$D$2:$D$26,'Open_POs'!$B$2:$B$26,E311,'Open_POs'!$E$2:$E$26,"&lt;="&amp;B311)</x:f>
        <x:v>0</x:v>
      </x:c>
      <x:c r="M311" s="76" t="n">
        <x:f>J311+L311</x:f>
        <x:v>862</x:v>
      </x:c>
      <x:c r="N311" s="76" t="n">
        <x:f>SUMIFS($I$2:I311,$E$2:E311,E311)</x:f>
        <x:v>8032.199999999999</x:v>
      </x:c>
      <x:c r="O311" s="76" t="n">
        <x:f>M311-N311</x:f>
        <x:v>-7170.199999999999</x:v>
      </x:c>
      <x:c r="P311" s="71" t="str">
        <x:f>IF(O311&lt;0,"SHORT",IF(O311&lt;K311,"BELOW TARGET","COVERED"))</x:f>
        <x:v>SHORT</x:v>
      </x:c>
      <x:c r="Q311" s="63" t="str">
        <x:f>IF(AND(P311="SHORT",COUNTIFS($E$2:E311,E311,$P$2:P311,"SHORT")=1),B311,"")</x:f>
      </x:c>
    </x:row>
    <x:row r="312" ht="15" customHeight="1">
      <x:c r="A312" s="71" t="str">
        <x:v>SO-26046</x:v>
      </x:c>
      <x:c r="B312" s="75" t="n">
        <x:v>46278</x:v>
      </x:c>
      <x:c r="C312" s="71" t="str">
        <x:v>Normal</x:v>
      </x:c>
      <x:c r="D312" s="71" t="str">
        <x:v>FG-017</x:v>
      </x:c>
      <x:c r="E312" s="71" t="str">
        <x:v>RM-059</x:v>
      </x:c>
      <x:c r="F312" s="71" t="str">
        <x:v>Additive 059</x:v>
      </x:c>
      <x:c r="G312" s="76" t="n">
        <x:v>40</x:v>
      </x:c>
      <x:c r="H312" s="76" t="n">
        <x:v>60.54</x:v>
      </x:c>
      <x:c r="I312" s="76" t="n">
        <x:f>G312*H312</x:f>
        <x:v>2421.6</x:v>
      </x:c>
      <x:c r="J312" s="76" t="n">
        <x:f>IFERROR(INDEX('Inventory'!$E$2:$E$71,MATCH(E312,'Inventory'!$A$2:$A$71,0)),0)</x:f>
        <x:v>10488</x:v>
      </x:c>
      <x:c r="K312" s="76" t="n">
        <x:f>IFERROR(INDEX('Inventory'!$F$2:$F$71,MATCH(E312,'Inventory'!$A$2:$A$71,0)),0)</x:f>
        <x:v>1442</x:v>
      </x:c>
      <x:c r="L312" s="76" t="n">
        <x:f>SUMIFS('Open_POs'!$D$2:$D$26,'Open_POs'!$B$2:$B$26,E312,'Open_POs'!$E$2:$E$26,"&lt;="&amp;B312)</x:f>
        <x:v>0</x:v>
      </x:c>
      <x:c r="M312" s="76" t="n">
        <x:f>J312+L312</x:f>
        <x:v>10488</x:v>
      </x:c>
      <x:c r="N312" s="76" t="n">
        <x:f>SUMIFS($I$2:I312,$E$2:E312,E312)</x:f>
        <x:v>29786</x:v>
      </x:c>
      <x:c r="O312" s="76" t="n">
        <x:f>M312-N312</x:f>
        <x:v>-19298</x:v>
      </x:c>
      <x:c r="P312" s="71" t="str">
        <x:f>IF(O312&lt;0,"SHORT",IF(O312&lt;K312,"BELOW TARGET","COVERED"))</x:f>
        <x:v>SHORT</x:v>
      </x:c>
      <x:c r="Q312" s="63" t="str">
        <x:f>IF(AND(P312="SHORT",COUNTIFS($E$2:E312,E312,$P$2:P312,"SHORT")=1),B312,"")</x:f>
      </x:c>
    </x:row>
    <x:row r="313" ht="15" customHeight="1">
      <x:c r="A313" s="71" t="str">
        <x:v>SO-26076</x:v>
      </x:c>
      <x:c r="B313" s="75" t="n">
        <x:v>46278</x:v>
      </x:c>
      <x:c r="C313" s="71" t="str">
        <x:v>Normal</x:v>
      </x:c>
      <x:c r="D313" s="71" t="str">
        <x:v>FG-019</x:v>
      </x:c>
      <x:c r="E313" s="71" t="str">
        <x:v>RM-007</x:v>
      </x:c>
      <x:c r="F313" s="71" t="str">
        <x:v>Pigment 007</x:v>
      </x:c>
      <x:c r="G313" s="76" t="n">
        <x:v>50</x:v>
      </x:c>
      <x:c r="H313" s="76" t="n">
        <x:v>64.2</x:v>
      </x:c>
      <x:c r="I313" s="76" t="n">
        <x:f>G313*H313</x:f>
        <x:v>3210</x:v>
      </x:c>
      <x:c r="J313" s="76" t="n">
        <x:f>IFERROR(INDEX('Inventory'!$E$2:$E$71,MATCH(E313,'Inventory'!$A$2:$A$71,0)),0)</x:f>
        <x:v>9115</x:v>
      </x:c>
      <x:c r="K313" s="76" t="n">
        <x:f>IFERROR(INDEX('Inventory'!$F$2:$F$71,MATCH(E313,'Inventory'!$A$2:$A$71,0)),0)</x:f>
        <x:v>230</x:v>
      </x:c>
      <x:c r="L313" s="76" t="n">
        <x:f>SUMIFS('Open_POs'!$D$2:$D$26,'Open_POs'!$B$2:$B$26,E313,'Open_POs'!$E$2:$E$26,"&lt;="&amp;B313)</x:f>
        <x:v>0</x:v>
      </x:c>
      <x:c r="M313" s="76" t="n">
        <x:f>J313+L313</x:f>
        <x:v>9115</x:v>
      </x:c>
      <x:c r="N313" s="76" t="n">
        <x:f>SUMIFS($I$2:I313,$E$2:E313,E313)</x:f>
        <x:v>20031.6</x:v>
      </x:c>
      <x:c r="O313" s="76" t="n">
        <x:f>M313-N313</x:f>
        <x:v>-10916.599999999999</x:v>
      </x:c>
      <x:c r="P313" s="71" t="str">
        <x:f>IF(O313&lt;0,"SHORT",IF(O313&lt;K313,"BELOW TARGET","COVERED"))</x:f>
        <x:v>SHORT</x:v>
      </x:c>
      <x:c r="Q313" s="63" t="str">
        <x:f>IF(AND(P313="SHORT",COUNTIFS($E$2:E313,E313,$P$2:P313,"SHORT")=1),B313,"")</x:f>
      </x:c>
    </x:row>
    <x:row r="314" ht="15" customHeight="1">
      <x:c r="A314" s="71" t="str">
        <x:v>SO-26076</x:v>
      </x:c>
      <x:c r="B314" s="75" t="n">
        <x:v>46278</x:v>
      </x:c>
      <x:c r="C314" s="71" t="str">
        <x:v>Normal</x:v>
      </x:c>
      <x:c r="D314" s="71" t="str">
        <x:v>FG-019</x:v>
      </x:c>
      <x:c r="E314" s="71" t="str">
        <x:v>RM-014</x:v>
      </x:c>
      <x:c r="F314" s="71" t="str">
        <x:v>Additive 014</x:v>
      </x:c>
      <x:c r="G314" s="76" t="n">
        <x:v>50</x:v>
      </x:c>
      <x:c r="H314" s="76" t="n">
        <x:v>61.33</x:v>
      </x:c>
      <x:c r="I314" s="76" t="n">
        <x:f>G314*H314</x:f>
        <x:v>3066.5</x:v>
      </x:c>
      <x:c r="J314" s="76" t="n">
        <x:f>IFERROR(INDEX('Inventory'!$E$2:$E$71,MATCH(E314,'Inventory'!$A$2:$A$71,0)),0)</x:f>
        <x:v>2788</x:v>
      </x:c>
      <x:c r="K314" s="76" t="n">
        <x:f>IFERROR(INDEX('Inventory'!$F$2:$F$71,MATCH(E314,'Inventory'!$A$2:$A$71,0)),0)</x:f>
        <x:v>1133</x:v>
      </x:c>
      <x:c r="L314" s="76" t="n">
        <x:f>SUMIFS('Open_POs'!$D$2:$D$26,'Open_POs'!$B$2:$B$26,E314,'Open_POs'!$E$2:$E$26,"&lt;="&amp;B314)</x:f>
        <x:v>0</x:v>
      </x:c>
      <x:c r="M314" s="76" t="n">
        <x:f>J314+L314</x:f>
        <x:v>2788</x:v>
      </x:c>
      <x:c r="N314" s="76" t="n">
        <x:f>SUMIFS($I$2:I314,$E$2:E314,E314)</x:f>
        <x:v>12266</x:v>
      </x:c>
      <x:c r="O314" s="76" t="n">
        <x:f>M314-N314</x:f>
        <x:v>-9478</x:v>
      </x:c>
      <x:c r="P314" s="71" t="str">
        <x:f>IF(O314&lt;0,"SHORT",IF(O314&lt;K314,"BELOW TARGET","COVERED"))</x:f>
        <x:v>SHORT</x:v>
      </x:c>
      <x:c r="Q314" s="63" t="str">
        <x:f>IF(AND(P314="SHORT",COUNTIFS($E$2:E314,E314,$P$2:P314,"SHORT")=1),B314,"")</x:f>
      </x:c>
    </x:row>
    <x:row r="315" ht="15" customHeight="1">
      <x:c r="A315" s="71" t="str">
        <x:v>SO-26076</x:v>
      </x:c>
      <x:c r="B315" s="75" t="n">
        <x:v>46278</x:v>
      </x:c>
      <x:c r="C315" s="71" t="str">
        <x:v>Normal</x:v>
      </x:c>
      <x:c r="D315" s="71" t="str">
        <x:v>FG-019</x:v>
      </x:c>
      <x:c r="E315" s="71" t="str">
        <x:v>RM-023</x:v>
      </x:c>
      <x:c r="F315" s="71" t="str">
        <x:v>Filler 023</x:v>
      </x:c>
      <x:c r="G315" s="76" t="n">
        <x:v>50</x:v>
      </x:c>
      <x:c r="H315" s="76" t="n">
        <x:v>34.53</x:v>
      </x:c>
      <x:c r="I315" s="76" t="n">
        <x:f>G315*H315</x:f>
        <x:v>1726.5</x:v>
      </x:c>
      <x:c r="J315" s="76" t="n">
        <x:f>IFERROR(INDEX('Inventory'!$E$2:$E$71,MATCH(E315,'Inventory'!$A$2:$A$71,0)),0)</x:f>
        <x:v>3401</x:v>
      </x:c>
      <x:c r="K315" s="76" t="n">
        <x:f>IFERROR(INDEX('Inventory'!$F$2:$F$71,MATCH(E315,'Inventory'!$A$2:$A$71,0)),0)</x:f>
        <x:v>418</x:v>
      </x:c>
      <x:c r="L315" s="76" t="n">
        <x:f>SUMIFS('Open_POs'!$D$2:$D$26,'Open_POs'!$B$2:$B$26,E315,'Open_POs'!$E$2:$E$26,"&lt;="&amp;B315)</x:f>
        <x:v>0</x:v>
      </x:c>
      <x:c r="M315" s="76" t="n">
        <x:f>J315+L315</x:f>
        <x:v>3401</x:v>
      </x:c>
      <x:c r="N315" s="76" t="n">
        <x:f>SUMIFS($I$2:I315,$E$2:E315,E315)</x:f>
        <x:v>10265.8</x:v>
      </x:c>
      <x:c r="O315" s="76" t="n">
        <x:f>M315-N315</x:f>
        <x:v>-6864.799999999999</x:v>
      </x:c>
      <x:c r="P315" s="71" t="str">
        <x:f>IF(O315&lt;0,"SHORT",IF(O315&lt;K315,"BELOW TARGET","COVERED"))</x:f>
        <x:v>SHORT</x:v>
      </x:c>
      <x:c r="Q315" s="63" t="str">
        <x:f>IF(AND(P315="SHORT",COUNTIFS($E$2:E315,E315,$P$2:P315,"SHORT")=1),B315,"")</x:f>
      </x:c>
    </x:row>
    <x:row r="316" ht="15" customHeight="1">
      <x:c r="A316" s="71" t="str">
        <x:v>SO-26076</x:v>
      </x:c>
      <x:c r="B316" s="75" t="n">
        <x:v>46278</x:v>
      </x:c>
      <x:c r="C316" s="71" t="str">
        <x:v>Normal</x:v>
      </x:c>
      <x:c r="D316" s="71" t="str">
        <x:v>FG-019</x:v>
      </x:c>
      <x:c r="E316" s="71" t="str">
        <x:v>RM-033</x:v>
      </x:c>
      <x:c r="F316" s="71" t="str">
        <x:v>Filler 033</x:v>
      </x:c>
      <x:c r="G316" s="76" t="n">
        <x:v>50</x:v>
      </x:c>
      <x:c r="H316" s="76" t="n">
        <x:v>41.3</x:v>
      </x:c>
      <x:c r="I316" s="76" t="n">
        <x:f>G316*H316</x:f>
        <x:v>2065</x:v>
      </x:c>
      <x:c r="J316" s="76" t="n">
        <x:f>IFERROR(INDEX('Inventory'!$E$2:$E$71,MATCH(E316,'Inventory'!$A$2:$A$71,0)),0)</x:f>
        <x:v>4157</x:v>
      </x:c>
      <x:c r="K316" s="76" t="n">
        <x:f>IFERROR(INDEX('Inventory'!$F$2:$F$71,MATCH(E316,'Inventory'!$A$2:$A$71,0)),0)</x:f>
        <x:v>1030</x:v>
      </x:c>
      <x:c r="L316" s="76" t="n">
        <x:f>SUMIFS('Open_POs'!$D$2:$D$26,'Open_POs'!$B$2:$B$26,E316,'Open_POs'!$E$2:$E$26,"&lt;="&amp;B316)</x:f>
        <x:v>0</x:v>
      </x:c>
      <x:c r="M316" s="76" t="n">
        <x:f>J316+L316</x:f>
        <x:v>4157</x:v>
      </x:c>
      <x:c r="N316" s="76" t="n">
        <x:f>SUMIFS($I$2:I316,$E$2:E316,E316)</x:f>
        <x:v>15482.4</x:v>
      </x:c>
      <x:c r="O316" s="76" t="n">
        <x:f>M316-N316</x:f>
        <x:v>-11325.4</x:v>
      </x:c>
      <x:c r="P316" s="71" t="str">
        <x:f>IF(O316&lt;0,"SHORT",IF(O316&lt;K316,"BELOW TARGET","COVERED"))</x:f>
        <x:v>SHORT</x:v>
      </x:c>
      <x:c r="Q316" s="63" t="str">
        <x:f>IF(AND(P316="SHORT",COUNTIFS($E$2:E316,E316,$P$2:P316,"SHORT")=1),B316,"")</x:f>
      </x:c>
    </x:row>
    <x:row r="317" ht="15" customHeight="1">
      <x:c r="A317" s="71" t="str">
        <x:v>SO-26076</x:v>
      </x:c>
      <x:c r="B317" s="75" t="n">
        <x:v>46278</x:v>
      </x:c>
      <x:c r="C317" s="71" t="str">
        <x:v>Normal</x:v>
      </x:c>
      <x:c r="D317" s="71" t="str">
        <x:v>FG-019</x:v>
      </x:c>
      <x:c r="E317" s="71" t="str">
        <x:v>RM-038</x:v>
      </x:c>
      <x:c r="F317" s="71" t="str">
        <x:v>Filler 038</x:v>
      </x:c>
      <x:c r="G317" s="76" t="n">
        <x:v>50</x:v>
      </x:c>
      <x:c r="H317" s="76" t="n">
        <x:v>50.34</x:v>
      </x:c>
      <x:c r="I317" s="76" t="n">
        <x:f>G317*H317</x:f>
        <x:v>2517</x:v>
      </x:c>
      <x:c r="J317" s="76" t="n">
        <x:f>IFERROR(INDEX('Inventory'!$E$2:$E$71,MATCH(E317,'Inventory'!$A$2:$A$71,0)),0)</x:f>
        <x:v>10042</x:v>
      </x:c>
      <x:c r="K317" s="76" t="n">
        <x:f>IFERROR(INDEX('Inventory'!$F$2:$F$71,MATCH(E317,'Inventory'!$A$2:$A$71,0)),0)</x:f>
        <x:v>1452</x:v>
      </x:c>
      <x:c r="L317" s="76" t="n">
        <x:f>SUMIFS('Open_POs'!$D$2:$D$26,'Open_POs'!$B$2:$B$26,E317,'Open_POs'!$E$2:$E$26,"&lt;="&amp;B317)</x:f>
        <x:v>10000</x:v>
      </x:c>
      <x:c r="M317" s="76" t="n">
        <x:f>J317+L317</x:f>
        <x:v>20042</x:v>
      </x:c>
      <x:c r="N317" s="76" t="n">
        <x:f>SUMIFS($I$2:I317,$E$2:E317,E317)</x:f>
        <x:v>25495.5</x:v>
      </x:c>
      <x:c r="O317" s="76" t="n">
        <x:f>M317-N317</x:f>
        <x:v>-5453.5</x:v>
      </x:c>
      <x:c r="P317" s="71" t="str">
        <x:f>IF(O317&lt;0,"SHORT",IF(O317&lt;K317,"BELOW TARGET","COVERED"))</x:f>
        <x:v>SHORT</x:v>
      </x:c>
      <x:c r="Q317" s="63" t="str">
        <x:f>IF(AND(P317="SHORT",COUNTIFS($E$2:E317,E317,$P$2:P317,"SHORT")=1),B317,"")</x:f>
      </x:c>
    </x:row>
    <x:row r="318" ht="15" customHeight="1">
      <x:c r="A318" s="71" t="str">
        <x:v>SO-26076</x:v>
      </x:c>
      <x:c r="B318" s="75" t="n">
        <x:v>46278</x:v>
      </x:c>
      <x:c r="C318" s="71" t="str">
        <x:v>Normal</x:v>
      </x:c>
      <x:c r="D318" s="71" t="str">
        <x:v>FG-019</x:v>
      </x:c>
      <x:c r="E318" s="71" t="str">
        <x:v>RM-041</x:v>
      </x:c>
      <x:c r="F318" s="71" t="str">
        <x:v>Resin 041</x:v>
      </x:c>
      <x:c r="G318" s="76" t="n">
        <x:v>50</x:v>
      </x:c>
      <x:c r="H318" s="76" t="n">
        <x:v>9.3</x:v>
      </x:c>
      <x:c r="I318" s="76" t="n">
        <x:f>G318*H318</x:f>
        <x:v>465.00000000000006</x:v>
      </x:c>
      <x:c r="J318" s="76" t="n">
        <x:f>IFERROR(INDEX('Inventory'!$E$2:$E$71,MATCH(E318,'Inventory'!$A$2:$A$71,0)),0)</x:f>
        <x:v>4635</x:v>
      </x:c>
      <x:c r="K318" s="76" t="n">
        <x:f>IFERROR(INDEX('Inventory'!$F$2:$F$71,MATCH(E318,'Inventory'!$A$2:$A$71,0)),0)</x:f>
        <x:v>987</x:v>
      </x:c>
      <x:c r="L318" s="76" t="n">
        <x:f>SUMIFS('Open_POs'!$D$2:$D$26,'Open_POs'!$B$2:$B$26,E318,'Open_POs'!$E$2:$E$26,"&lt;="&amp;B318)</x:f>
        <x:v>0</x:v>
      </x:c>
      <x:c r="M318" s="76" t="n">
        <x:f>J318+L318</x:f>
        <x:v>4635</x:v>
      </x:c>
      <x:c r="N318" s="76" t="n">
        <x:f>SUMIFS($I$2:I318,$E$2:E318,E318)</x:f>
        <x:v>9739.2</x:v>
      </x:c>
      <x:c r="O318" s="76" t="n">
        <x:f>M318-N318</x:f>
        <x:v>-5104.200000000001</x:v>
      </x:c>
      <x:c r="P318" s="71" t="str">
        <x:f>IF(O318&lt;0,"SHORT",IF(O318&lt;K318,"BELOW TARGET","COVERED"))</x:f>
        <x:v>SHORT</x:v>
      </x:c>
      <x:c r="Q318" s="63" t="str">
        <x:f>IF(AND(P318="SHORT",COUNTIFS($E$2:E318,E318,$P$2:P318,"SHORT")=1),B318,"")</x:f>
      </x:c>
    </x:row>
    <x:row r="319" ht="15" customHeight="1">
      <x:c r="A319" s="71" t="str">
        <x:v>SO-26076</x:v>
      </x:c>
      <x:c r="B319" s="75" t="n">
        <x:v>46278</x:v>
      </x:c>
      <x:c r="C319" s="71" t="str">
        <x:v>Normal</x:v>
      </x:c>
      <x:c r="D319" s="71" t="str">
        <x:v>FG-019</x:v>
      </x:c>
      <x:c r="E319" s="71" t="str">
        <x:v>RM-048</x:v>
      </x:c>
      <x:c r="F319" s="71" t="str">
        <x:v>Filler 048</x:v>
      </x:c>
      <x:c r="G319" s="76" t="n">
        <x:v>50</x:v>
      </x:c>
      <x:c r="H319" s="76" t="n">
        <x:v>41.51</x:v>
      </x:c>
      <x:c r="I319" s="76" t="n">
        <x:f>G319*H319</x:f>
        <x:v>2075.5</x:v>
      </x:c>
      <x:c r="J319" s="76" t="n">
        <x:f>IFERROR(INDEX('Inventory'!$E$2:$E$71,MATCH(E319,'Inventory'!$A$2:$A$71,0)),0)</x:f>
        <x:v>637</x:v>
      </x:c>
      <x:c r="K319" s="76" t="n">
        <x:f>IFERROR(INDEX('Inventory'!$F$2:$F$71,MATCH(E319,'Inventory'!$A$2:$A$71,0)),0)</x:f>
        <x:v>888</x:v>
      </x:c>
      <x:c r="L319" s="76" t="n">
        <x:f>SUMIFS('Open_POs'!$D$2:$D$26,'Open_POs'!$B$2:$B$26,E319,'Open_POs'!$E$2:$E$26,"&lt;="&amp;B319)</x:f>
        <x:v>1000</x:v>
      </x:c>
      <x:c r="M319" s="76" t="n">
        <x:f>J319+L319</x:f>
        <x:v>1637</x:v>
      </x:c>
      <x:c r="N319" s="76" t="n">
        <x:f>SUMIFS($I$2:I319,$E$2:E319,E319)</x:f>
        <x:v>14206.899999999998</x:v>
      </x:c>
      <x:c r="O319" s="76" t="n">
        <x:f>M319-N319</x:f>
        <x:v>-12569.899999999998</x:v>
      </x:c>
      <x:c r="P319" s="71" t="str">
        <x:f>IF(O319&lt;0,"SHORT",IF(O319&lt;K319,"BELOW TARGET","COVERED"))</x:f>
        <x:v>SHORT</x:v>
      </x:c>
      <x:c r="Q319" s="63" t="str">
        <x:f>IF(AND(P319="SHORT",COUNTIFS($E$2:E319,E319,$P$2:P319,"SHORT")=1),B319,"")</x:f>
      </x:c>
    </x:row>
    <x:row r="320" ht="15" customHeight="1">
      <x:c r="A320" s="71" t="str">
        <x:v>SO-26076</x:v>
      </x:c>
      <x:c r="B320" s="75" t="n">
        <x:v>46278</x:v>
      </x:c>
      <x:c r="C320" s="71" t="str">
        <x:v>Normal</x:v>
      </x:c>
      <x:c r="D320" s="71" t="str">
        <x:v>FG-019</x:v>
      </x:c>
      <x:c r="E320" s="71" t="str">
        <x:v>RM-062</x:v>
      </x:c>
      <x:c r="F320" s="71" t="str">
        <x:v>Pigment 062</x:v>
      </x:c>
      <x:c r="G320" s="76" t="n">
        <x:v>50</x:v>
      </x:c>
      <x:c r="H320" s="76" t="n">
        <x:v>9</x:v>
      </x:c>
      <x:c r="I320" s="76" t="n">
        <x:f>G320*H320</x:f>
        <x:v>450</x:v>
      </x:c>
      <x:c r="J320" s="76" t="n">
        <x:f>IFERROR(INDEX('Inventory'!$E$2:$E$71,MATCH(E320,'Inventory'!$A$2:$A$71,0)),0)</x:f>
        <x:v>7110</x:v>
      </x:c>
      <x:c r="K320" s="76" t="n">
        <x:f>IFERROR(INDEX('Inventory'!$F$2:$F$71,MATCH(E320,'Inventory'!$A$2:$A$71,0)),0)</x:f>
        <x:v>1339</x:v>
      </x:c>
      <x:c r="L320" s="76" t="n">
        <x:f>SUMIFS('Open_POs'!$D$2:$D$26,'Open_POs'!$B$2:$B$26,E320,'Open_POs'!$E$2:$E$26,"&lt;="&amp;B320)</x:f>
        <x:v>0</x:v>
      </x:c>
      <x:c r="M320" s="76" t="n">
        <x:f>J320+L320</x:f>
        <x:v>7110</x:v>
      </x:c>
      <x:c r="N320" s="76" t="n">
        <x:f>SUMIFS($I$2:I320,$E$2:E320,E320)</x:f>
        <x:v>3557</x:v>
      </x:c>
      <x:c r="O320" s="76" t="n">
        <x:f>M320-N320</x:f>
        <x:v>3553</x:v>
      </x:c>
      <x:c r="P320" s="71" t="str">
        <x:f>IF(O320&lt;0,"SHORT",IF(O320&lt;K320,"BELOW TARGET","COVERED"))</x:f>
        <x:v>COVERED</x:v>
      </x:c>
      <x:c r="Q320" s="63" t="str">
        <x:f>IF(AND(P320="SHORT",COUNTIFS($E$2:E320,E320,$P$2:P320,"SHORT")=1),B320,"")</x:f>
      </x:c>
    </x:row>
    <x:row r="321" ht="15" customHeight="1">
      <x:c r="A321" s="71" t="str">
        <x:v>SO-26008</x:v>
      </x:c>
      <x:c r="B321" s="75" t="n">
        <x:v>46280</x:v>
      </x:c>
      <x:c r="C321" s="71" t="str">
        <x:v>Normal</x:v>
      </x:c>
      <x:c r="D321" s="71" t="str">
        <x:v>FG-001</x:v>
      </x:c>
      <x:c r="E321" s="71" t="str">
        <x:v>RM-008</x:v>
      </x:c>
      <x:c r="F321" s="71" t="str">
        <x:v>Filler 008</x:v>
      </x:c>
      <x:c r="G321" s="76" t="n">
        <x:v>50</x:v>
      </x:c>
      <x:c r="H321" s="76" t="n">
        <x:v>50.81</x:v>
      </x:c>
      <x:c r="I321" s="76" t="n">
        <x:f>G321*H321</x:f>
        <x:v>2540.5</x:v>
      </x:c>
      <x:c r="J321" s="76" t="n">
        <x:f>IFERROR(INDEX('Inventory'!$E$2:$E$71,MATCH(E321,'Inventory'!$A$2:$A$71,0)),0)</x:f>
        <x:v>430</x:v>
      </x:c>
      <x:c r="K321" s="76" t="n">
        <x:f>IFERROR(INDEX('Inventory'!$F$2:$F$71,MATCH(E321,'Inventory'!$A$2:$A$71,0)),0)</x:f>
        <x:v>1037</x:v>
      </x:c>
      <x:c r="L321" s="76" t="n">
        <x:f>SUMIFS('Open_POs'!$D$2:$D$26,'Open_POs'!$B$2:$B$26,E321,'Open_POs'!$E$2:$E$26,"&lt;="&amp;B321)</x:f>
        <x:v>0</x:v>
      </x:c>
      <x:c r="M321" s="76" t="n">
        <x:f>J321+L321</x:f>
        <x:v>430</x:v>
      </x:c>
      <x:c r="N321" s="76" t="n">
        <x:f>SUMIFS($I$2:I321,$E$2:E321,E321)</x:f>
        <x:v>16973.5</x:v>
      </x:c>
      <x:c r="O321" s="76" t="n">
        <x:f>M321-N321</x:f>
        <x:v>-16543.5</x:v>
      </x:c>
      <x:c r="P321" s="71" t="str">
        <x:f>IF(O321&lt;0,"SHORT",IF(O321&lt;K321,"BELOW TARGET","COVERED"))</x:f>
        <x:v>SHORT</x:v>
      </x:c>
      <x:c r="Q321" s="63" t="str">
        <x:f>IF(AND(P321="SHORT",COUNTIFS($E$2:E321,E321,$P$2:P321,"SHORT")=1),B321,"")</x:f>
      </x:c>
    </x:row>
    <x:row r="322" ht="15" customHeight="1">
      <x:c r="A322" s="71" t="str">
        <x:v>SO-26008</x:v>
      </x:c>
      <x:c r="B322" s="75" t="n">
        <x:v>46280</x:v>
      </x:c>
      <x:c r="C322" s="71" t="str">
        <x:v>Normal</x:v>
      </x:c>
      <x:c r="D322" s="71" t="str">
        <x:v>FG-001</x:v>
      </x:c>
      <x:c r="E322" s="71" t="str">
        <x:v>RM-025</x:v>
      </x:c>
      <x:c r="F322" s="71" t="str">
        <x:v>Packaging 025</x:v>
      </x:c>
      <x:c r="G322" s="76" t="n">
        <x:v>50</x:v>
      </x:c>
      <x:c r="H322" s="76" t="n">
        <x:v>15.13</x:v>
      </x:c>
      <x:c r="I322" s="76" t="n">
        <x:f>G322*H322</x:f>
        <x:v>756.5</x:v>
      </x:c>
      <x:c r="J322" s="76" t="n">
        <x:f>IFERROR(INDEX('Inventory'!$E$2:$E$71,MATCH(E322,'Inventory'!$A$2:$A$71,0)),0)</x:f>
        <x:v>2469</x:v>
      </x:c>
      <x:c r="K322" s="76" t="n">
        <x:f>IFERROR(INDEX('Inventory'!$F$2:$F$71,MATCH(E322,'Inventory'!$A$2:$A$71,0)),0)</x:f>
        <x:v>229</x:v>
      </x:c>
      <x:c r="L322" s="76" t="n">
        <x:f>SUMIFS('Open_POs'!$D$2:$D$26,'Open_POs'!$B$2:$B$26,E322,'Open_POs'!$E$2:$E$26,"&lt;="&amp;B322)</x:f>
        <x:v>10000</x:v>
      </x:c>
      <x:c r="M322" s="76" t="n">
        <x:f>J322+L322</x:f>
        <x:v>12469</x:v>
      </x:c>
      <x:c r="N322" s="76" t="n">
        <x:f>SUMIFS($I$2:I322,$E$2:E322,E322)</x:f>
        <x:v>28733.999999999993</x:v>
      </x:c>
      <x:c r="O322" s="76" t="n">
        <x:f>M322-N322</x:f>
        <x:v>-16264.999999999993</x:v>
      </x:c>
      <x:c r="P322" s="71" t="str">
        <x:f>IF(O322&lt;0,"SHORT",IF(O322&lt;K322,"BELOW TARGET","COVERED"))</x:f>
        <x:v>SHORT</x:v>
      </x:c>
      <x:c r="Q322" s="63" t="str">
        <x:f>IF(AND(P322="SHORT",COUNTIFS($E$2:E322,E322,$P$2:P322,"SHORT")=1),B322,"")</x:f>
      </x:c>
    </x:row>
    <x:row r="323" ht="15" customHeight="1">
      <x:c r="A323" s="71" t="str">
        <x:v>SO-26008</x:v>
      </x:c>
      <x:c r="B323" s="75" t="n">
        <x:v>46280</x:v>
      </x:c>
      <x:c r="C323" s="71" t="str">
        <x:v>Normal</x:v>
      </x:c>
      <x:c r="D323" s="71" t="str">
        <x:v>FG-001</x:v>
      </x:c>
      <x:c r="E323" s="71" t="str">
        <x:v>RM-036</x:v>
      </x:c>
      <x:c r="F323" s="71" t="str">
        <x:v>Resin 036</x:v>
      </x:c>
      <x:c r="G323" s="76" t="n">
        <x:v>50</x:v>
      </x:c>
      <x:c r="H323" s="76" t="n">
        <x:v>37.95</x:v>
      </x:c>
      <x:c r="I323" s="76" t="n">
        <x:f>G323*H323</x:f>
        <x:v>1897.5000000000002</x:v>
      </x:c>
      <x:c r="J323" s="76" t="n">
        <x:f>IFERROR(INDEX('Inventory'!$E$2:$E$71,MATCH(E323,'Inventory'!$A$2:$A$71,0)),0)</x:f>
        <x:v>12427</x:v>
      </x:c>
      <x:c r="K323" s="76" t="n">
        <x:f>IFERROR(INDEX('Inventory'!$F$2:$F$71,MATCH(E323,'Inventory'!$A$2:$A$71,0)),0)</x:f>
        <x:v>1016</x:v>
      </x:c>
      <x:c r="L323" s="76" t="n">
        <x:f>SUMIFS('Open_POs'!$D$2:$D$26,'Open_POs'!$B$2:$B$26,E323,'Open_POs'!$E$2:$E$26,"&lt;="&amp;B323)</x:f>
        <x:v>1000</x:v>
      </x:c>
      <x:c r="M323" s="76" t="n">
        <x:f>J323+L323</x:f>
        <x:v>13427</x:v>
      </x:c>
      <x:c r="N323" s="76" t="n">
        <x:f>SUMIFS($I$2:I323,$E$2:E323,E323)</x:f>
        <x:v>16088.800000000001</x:v>
      </x:c>
      <x:c r="O323" s="76" t="n">
        <x:f>M323-N323</x:f>
        <x:v>-2661.800000000001</x:v>
      </x:c>
      <x:c r="P323" s="71" t="str">
        <x:f>IF(O323&lt;0,"SHORT",IF(O323&lt;K323,"BELOW TARGET","COVERED"))</x:f>
        <x:v>SHORT</x:v>
      </x:c>
      <x:c r="Q323" s="63" t="str">
        <x:f>IF(AND(P323="SHORT",COUNTIFS($E$2:E323,E323,$P$2:P323,"SHORT")=1),B323,"")</x:f>
      </x:c>
    </x:row>
    <x:row r="324" ht="15" customHeight="1">
      <x:c r="A324" s="71" t="str">
        <x:v>SO-26008</x:v>
      </x:c>
      <x:c r="B324" s="75" t="n">
        <x:v>46280</x:v>
      </x:c>
      <x:c r="C324" s="71" t="str">
        <x:v>Normal</x:v>
      </x:c>
      <x:c r="D324" s="71" t="str">
        <x:v>FG-001</x:v>
      </x:c>
      <x:c r="E324" s="71" t="str">
        <x:v>RM-048</x:v>
      </x:c>
      <x:c r="F324" s="71" t="str">
        <x:v>Filler 048</x:v>
      </x:c>
      <x:c r="G324" s="76" t="n">
        <x:v>50</x:v>
      </x:c>
      <x:c r="H324" s="76" t="n">
        <x:v>11.19</x:v>
      </x:c>
      <x:c r="I324" s="76" t="n">
        <x:f>G324*H324</x:f>
        <x:v>559.5</x:v>
      </x:c>
      <x:c r="J324" s="76" t="n">
        <x:f>IFERROR(INDEX('Inventory'!$E$2:$E$71,MATCH(E324,'Inventory'!$A$2:$A$71,0)),0)</x:f>
        <x:v>637</x:v>
      </x:c>
      <x:c r="K324" s="76" t="n">
        <x:f>IFERROR(INDEX('Inventory'!$F$2:$F$71,MATCH(E324,'Inventory'!$A$2:$A$71,0)),0)</x:f>
        <x:v>888</x:v>
      </x:c>
      <x:c r="L324" s="76" t="n">
        <x:f>SUMIFS('Open_POs'!$D$2:$D$26,'Open_POs'!$B$2:$B$26,E324,'Open_POs'!$E$2:$E$26,"&lt;="&amp;B324)</x:f>
        <x:v>1000</x:v>
      </x:c>
      <x:c r="M324" s="76" t="n">
        <x:f>J324+L324</x:f>
        <x:v>1637</x:v>
      </x:c>
      <x:c r="N324" s="76" t="n">
        <x:f>SUMIFS($I$2:I324,$E$2:E324,E324)</x:f>
        <x:v>14766.399999999998</x:v>
      </x:c>
      <x:c r="O324" s="76" t="n">
        <x:f>M324-N324</x:f>
        <x:v>-13129.399999999998</x:v>
      </x:c>
      <x:c r="P324" s="71" t="str">
        <x:f>IF(O324&lt;0,"SHORT",IF(O324&lt;K324,"BELOW TARGET","COVERED"))</x:f>
        <x:v>SHORT</x:v>
      </x:c>
      <x:c r="Q324" s="63" t="str">
        <x:f>IF(AND(P324="SHORT",COUNTIFS($E$2:E324,E324,$P$2:P324,"SHORT")=1),B324,"")</x:f>
      </x:c>
    </x:row>
    <x:row r="325" ht="15" customHeight="1">
      <x:c r="A325" s="71" t="str">
        <x:v>SO-26008</x:v>
      </x:c>
      <x:c r="B325" s="75" t="n">
        <x:v>46280</x:v>
      </x:c>
      <x:c r="C325" s="71" t="str">
        <x:v>Normal</x:v>
      </x:c>
      <x:c r="D325" s="71" t="str">
        <x:v>FG-001</x:v>
      </x:c>
      <x:c r="E325" s="71" t="str">
        <x:v>RM-066</x:v>
      </x:c>
      <x:c r="F325" s="71" t="str">
        <x:v>Resin 066</x:v>
      </x:c>
      <x:c r="G325" s="76" t="n">
        <x:v>50</x:v>
      </x:c>
      <x:c r="H325" s="76" t="n">
        <x:v>38.59</x:v>
      </x:c>
      <x:c r="I325" s="76" t="n">
        <x:f>G325*H325</x:f>
        <x:v>1929.5000000000002</x:v>
      </x:c>
      <x:c r="J325" s="76" t="n">
        <x:f>IFERROR(INDEX('Inventory'!$E$2:$E$71,MATCH(E325,'Inventory'!$A$2:$A$71,0)),0)</x:f>
        <x:v>10876</x:v>
      </x:c>
      <x:c r="K325" s="76" t="n">
        <x:f>IFERROR(INDEX('Inventory'!$F$2:$F$71,MATCH(E325,'Inventory'!$A$2:$A$71,0)),0)</x:f>
        <x:v>567</x:v>
      </x:c>
      <x:c r="L325" s="76" t="n">
        <x:f>SUMIFS('Open_POs'!$D$2:$D$26,'Open_POs'!$B$2:$B$26,E325,'Open_POs'!$E$2:$E$26,"&lt;="&amp;B325)</x:f>
        <x:v>0</x:v>
      </x:c>
      <x:c r="M325" s="76" t="n">
        <x:f>J325+L325</x:f>
        <x:v>10876</x:v>
      </x:c>
      <x:c r="N325" s="76" t="n">
        <x:f>SUMIFS($I$2:I325,$E$2:E325,E325)</x:f>
        <x:v>6900.2</x:v>
      </x:c>
      <x:c r="O325" s="76" t="n">
        <x:f>M325-N325</x:f>
        <x:v>3975.8</x:v>
      </x:c>
      <x:c r="P325" s="71" t="str">
        <x:f>IF(O325&lt;0,"SHORT",IF(O325&lt;K325,"BELOW TARGET","COVERED"))</x:f>
        <x:v>COVERED</x:v>
      </x:c>
      <x:c r="Q325" s="63" t="str">
        <x:f>IF(AND(P325="SHORT",COUNTIFS($E$2:E325,E325,$P$2:P325,"SHORT")=1),B325,"")</x:f>
      </x:c>
    </x:row>
    <x:row r="326" ht="15" customHeight="1">
      <x:c r="A326" s="71" t="str">
        <x:v>SO-26023</x:v>
      </x:c>
      <x:c r="B326" s="75" t="n">
        <x:v>46280</x:v>
      </x:c>
      <x:c r="C326" s="71" t="str">
        <x:v>Normal</x:v>
      </x:c>
      <x:c r="D326" s="71" t="str">
        <x:v>FG-010</x:v>
      </x:c>
      <x:c r="E326" s="71" t="str">
        <x:v>RM-009</x:v>
      </x:c>
      <x:c r="F326" s="71" t="str">
        <x:v>Additive 009</x:v>
      </x:c>
      <x:c r="G326" s="76" t="n">
        <x:v>60</x:v>
      </x:c>
      <x:c r="H326" s="76" t="n">
        <x:v>81.38</x:v>
      </x:c>
      <x:c r="I326" s="76" t="n">
        <x:f>G326*H326</x:f>
        <x:v>4882.799999999999</x:v>
      </x:c>
      <x:c r="J326" s="76" t="n">
        <x:f>IFERROR(INDEX('Inventory'!$E$2:$E$71,MATCH(E326,'Inventory'!$A$2:$A$71,0)),0)</x:f>
        <x:v>13813</x:v>
      </x:c>
      <x:c r="K326" s="76" t="n">
        <x:f>IFERROR(INDEX('Inventory'!$F$2:$F$71,MATCH(E326,'Inventory'!$A$2:$A$71,0)),0)</x:f>
        <x:v>1377</x:v>
      </x:c>
      <x:c r="L326" s="76" t="n">
        <x:f>SUMIFS('Open_POs'!$D$2:$D$26,'Open_POs'!$B$2:$B$26,E326,'Open_POs'!$E$2:$E$26,"&lt;="&amp;B326)</x:f>
        <x:v>0</x:v>
      </x:c>
      <x:c r="M326" s="76" t="n">
        <x:f>J326+L326</x:f>
        <x:v>13813</x:v>
      </x:c>
      <x:c r="N326" s="76" t="n">
        <x:f>SUMIFS($I$2:I326,$E$2:E326,E326)</x:f>
        <x:v>39525.100000000006</x:v>
      </x:c>
      <x:c r="O326" s="76" t="n">
        <x:f>M326-N326</x:f>
        <x:v>-25712.100000000006</x:v>
      </x:c>
      <x:c r="P326" s="71" t="str">
        <x:f>IF(O326&lt;0,"SHORT",IF(O326&lt;K326,"BELOW TARGET","COVERED"))</x:f>
        <x:v>SHORT</x:v>
      </x:c>
      <x:c r="Q326" s="63" t="str">
        <x:f>IF(AND(P326="SHORT",COUNTIFS($E$2:E326,E326,$P$2:P326,"SHORT")=1),B326,"")</x:f>
      </x:c>
    </x:row>
    <x:row r="327" ht="15" customHeight="1">
      <x:c r="A327" s="71" t="str">
        <x:v>SO-26023</x:v>
      </x:c>
      <x:c r="B327" s="75" t="n">
        <x:v>46280</x:v>
      </x:c>
      <x:c r="C327" s="71" t="str">
        <x:v>Normal</x:v>
      </x:c>
      <x:c r="D327" s="71" t="str">
        <x:v>FG-010</x:v>
      </x:c>
      <x:c r="E327" s="71" t="str">
        <x:v>RM-011</x:v>
      </x:c>
      <x:c r="F327" s="71" t="str">
        <x:v>Resin 011</x:v>
      </x:c>
      <x:c r="G327" s="76" t="n">
        <x:v>60</x:v>
      </x:c>
      <x:c r="H327" s="76" t="n">
        <x:v>64.9</x:v>
      </x:c>
      <x:c r="I327" s="76" t="n">
        <x:f>G327*H327</x:f>
        <x:v>3894.0000000000005</x:v>
      </x:c>
      <x:c r="J327" s="76" t="n">
        <x:f>IFERROR(INDEX('Inventory'!$E$2:$E$71,MATCH(E327,'Inventory'!$A$2:$A$71,0)),0)</x:f>
        <x:v>16410</x:v>
      </x:c>
      <x:c r="K327" s="76" t="n">
        <x:f>IFERROR(INDEX('Inventory'!$F$2:$F$71,MATCH(E327,'Inventory'!$A$2:$A$71,0)),0)</x:f>
        <x:v>1275</x:v>
      </x:c>
      <x:c r="L327" s="76" t="n">
        <x:f>SUMIFS('Open_POs'!$D$2:$D$26,'Open_POs'!$B$2:$B$26,E327,'Open_POs'!$E$2:$E$26,"&lt;="&amp;B327)</x:f>
        <x:v>0</x:v>
      </x:c>
      <x:c r="M327" s="76" t="n">
        <x:f>J327+L327</x:f>
        <x:v>16410</x:v>
      </x:c>
      <x:c r="N327" s="76" t="n">
        <x:f>SUMIFS($I$2:I327,$E$2:E327,E327)</x:f>
        <x:v>20703</x:v>
      </x:c>
      <x:c r="O327" s="76" t="n">
        <x:f>M327-N327</x:f>
        <x:v>-4293</x:v>
      </x:c>
      <x:c r="P327" s="71" t="str">
        <x:f>IF(O327&lt;0,"SHORT",IF(O327&lt;K327,"BELOW TARGET","COVERED"))</x:f>
        <x:v>SHORT</x:v>
      </x:c>
      <x:c r="Q327" s="63" t="str">
        <x:f>IF(AND(P327="SHORT",COUNTIFS($E$2:E327,E327,$P$2:P327,"SHORT")=1),B327,"")</x:f>
      </x:c>
    </x:row>
    <x:row r="328" ht="15" customHeight="1">
      <x:c r="A328" s="71" t="str">
        <x:v>SO-26023</x:v>
      </x:c>
      <x:c r="B328" s="75" t="n">
        <x:v>46280</x:v>
      </x:c>
      <x:c r="C328" s="71" t="str">
        <x:v>Normal</x:v>
      </x:c>
      <x:c r="D328" s="71" t="str">
        <x:v>FG-010</x:v>
      </x:c>
      <x:c r="E328" s="71" t="str">
        <x:v>RM-039</x:v>
      </x:c>
      <x:c r="F328" s="71" t="str">
        <x:v>Additive 039</x:v>
      </x:c>
      <x:c r="G328" s="76" t="n">
        <x:v>60</x:v>
      </x:c>
      <x:c r="H328" s="76" t="n">
        <x:v>103.36</x:v>
      </x:c>
      <x:c r="I328" s="76" t="n">
        <x:f>G328*H328</x:f>
        <x:v>6201.6</x:v>
      </x:c>
      <x:c r="J328" s="76" t="n">
        <x:f>IFERROR(INDEX('Inventory'!$E$2:$E$71,MATCH(E328,'Inventory'!$A$2:$A$71,0)),0)</x:f>
        <x:v>15593</x:v>
      </x:c>
      <x:c r="K328" s="76" t="n">
        <x:f>IFERROR(INDEX('Inventory'!$F$2:$F$71,MATCH(E328,'Inventory'!$A$2:$A$71,0)),0)</x:f>
        <x:v>1243</x:v>
      </x:c>
      <x:c r="L328" s="76" t="n">
        <x:f>SUMIFS('Open_POs'!$D$2:$D$26,'Open_POs'!$B$2:$B$26,E328,'Open_POs'!$E$2:$E$26,"&lt;="&amp;B328)</x:f>
        <x:v>0</x:v>
      </x:c>
      <x:c r="M328" s="76" t="n">
        <x:f>J328+L328</x:f>
        <x:v>15593</x:v>
      </x:c>
      <x:c r="N328" s="76" t="n">
        <x:f>SUMIFS($I$2:I328,$E$2:E328,E328)</x:f>
        <x:v>42567.99999999999</x:v>
      </x:c>
      <x:c r="O328" s="76" t="n">
        <x:f>M328-N328</x:f>
        <x:v>-26974.999999999993</x:v>
      </x:c>
      <x:c r="P328" s="71" t="str">
        <x:f>IF(O328&lt;0,"SHORT",IF(O328&lt;K328,"BELOW TARGET","COVERED"))</x:f>
        <x:v>SHORT</x:v>
      </x:c>
      <x:c r="Q328" s="63" t="str">
        <x:f>IF(AND(P328="SHORT",COUNTIFS($E$2:E328,E328,$P$2:P328,"SHORT")=1),B328,"")</x:f>
      </x:c>
    </x:row>
    <x:row r="329" ht="15" customHeight="1">
      <x:c r="A329" s="71" t="str">
        <x:v>SO-26023</x:v>
      </x:c>
      <x:c r="B329" s="75" t="n">
        <x:v>46280</x:v>
      </x:c>
      <x:c r="C329" s="71" t="str">
        <x:v>Normal</x:v>
      </x:c>
      <x:c r="D329" s="71" t="str">
        <x:v>FG-010</x:v>
      </x:c>
      <x:c r="E329" s="71" t="str">
        <x:v>RM-042</x:v>
      </x:c>
      <x:c r="F329" s="71" t="str">
        <x:v>Pigment 042</x:v>
      </x:c>
      <x:c r="G329" s="76" t="n">
        <x:v>60</x:v>
      </x:c>
      <x:c r="H329" s="76" t="n">
        <x:v>148.6</x:v>
      </x:c>
      <x:c r="I329" s="76" t="n">
        <x:f>G329*H329</x:f>
        <x:v>8916</x:v>
      </x:c>
      <x:c r="J329" s="76" t="n">
        <x:f>IFERROR(INDEX('Inventory'!$E$2:$E$71,MATCH(E329,'Inventory'!$A$2:$A$71,0)),0)</x:f>
        <x:v>14280</x:v>
      </x:c>
      <x:c r="K329" s="76" t="n">
        <x:f>IFERROR(INDEX('Inventory'!$F$2:$F$71,MATCH(E329,'Inventory'!$A$2:$A$71,0)),0)</x:f>
        <x:v>553</x:v>
      </x:c>
      <x:c r="L329" s="76" t="n">
        <x:f>SUMIFS('Open_POs'!$D$2:$D$26,'Open_POs'!$B$2:$B$26,E329,'Open_POs'!$E$2:$E$26,"&lt;="&amp;B329)</x:f>
        <x:v>0</x:v>
      </x:c>
      <x:c r="M329" s="76" t="n">
        <x:f>J329+L329</x:f>
        <x:v>14280</x:v>
      </x:c>
      <x:c r="N329" s="76" t="n">
        <x:f>SUMIFS($I$2:I329,$E$2:E329,E329)</x:f>
        <x:v>32692</x:v>
      </x:c>
      <x:c r="O329" s="76" t="n">
        <x:f>M329-N329</x:f>
        <x:v>-18412</x:v>
      </x:c>
      <x:c r="P329" s="71" t="str">
        <x:f>IF(O329&lt;0,"SHORT",IF(O329&lt;K329,"BELOW TARGET","COVERED"))</x:f>
        <x:v>SHORT</x:v>
      </x:c>
      <x:c r="Q329" s="63" t="str">
        <x:f>IF(AND(P329="SHORT",COUNTIFS($E$2:E329,E329,$P$2:P329,"SHORT")=1),B329,"")</x:f>
      </x:c>
    </x:row>
    <x:row r="330" ht="15" customHeight="1">
      <x:c r="A330" s="71" t="str">
        <x:v>SO-26023</x:v>
      </x:c>
      <x:c r="B330" s="75" t="n">
        <x:v>46280</x:v>
      </x:c>
      <x:c r="C330" s="71" t="str">
        <x:v>Normal</x:v>
      </x:c>
      <x:c r="D330" s="71" t="str">
        <x:v>FG-010</x:v>
      </x:c>
      <x:c r="E330" s="71" t="str">
        <x:v>RM-053</x:v>
      </x:c>
      <x:c r="F330" s="71" t="str">
        <x:v>Filler 053</x:v>
      </x:c>
      <x:c r="G330" s="76" t="n">
        <x:v>60</x:v>
      </x:c>
      <x:c r="H330" s="76" t="n">
        <x:v>62.69</x:v>
      </x:c>
      <x:c r="I330" s="76" t="n">
        <x:f>G330*H330</x:f>
        <x:v>3761.3999999999996</x:v>
      </x:c>
      <x:c r="J330" s="76" t="n">
        <x:f>IFERROR(INDEX('Inventory'!$E$2:$E$71,MATCH(E330,'Inventory'!$A$2:$A$71,0)),0)</x:f>
        <x:v>3714</x:v>
      </x:c>
      <x:c r="K330" s="76" t="n">
        <x:f>IFERROR(INDEX('Inventory'!$F$2:$F$71,MATCH(E330,'Inventory'!$A$2:$A$71,0)),0)</x:f>
        <x:v>773</x:v>
      </x:c>
      <x:c r="L330" s="76" t="n">
        <x:f>SUMIFS('Open_POs'!$D$2:$D$26,'Open_POs'!$B$2:$B$26,E330,'Open_POs'!$E$2:$E$26,"&lt;="&amp;B330)</x:f>
        <x:v>0</x:v>
      </x:c>
      <x:c r="M330" s="76" t="n">
        <x:f>J330+L330</x:f>
        <x:v>3714</x:v>
      </x:c>
      <x:c r="N330" s="76" t="n">
        <x:f>SUMIFS($I$2:I330,$E$2:E330,E330)</x:f>
        <x:v>27157.800000000003</x:v>
      </x:c>
      <x:c r="O330" s="76" t="n">
        <x:f>M330-N330</x:f>
        <x:v>-23443.800000000003</x:v>
      </x:c>
      <x:c r="P330" s="71" t="str">
        <x:f>IF(O330&lt;0,"SHORT",IF(O330&lt;K330,"BELOW TARGET","COVERED"))</x:f>
        <x:v>SHORT</x:v>
      </x:c>
      <x:c r="Q330" s="63" t="str">
        <x:f>IF(AND(P330="SHORT",COUNTIFS($E$2:E330,E330,$P$2:P330,"SHORT")=1),B330,"")</x:f>
      </x:c>
    </x:row>
    <x:row r="331" ht="15" customHeight="1">
      <x:c r="A331" s="71" t="str">
        <x:v>SO-26023</x:v>
      </x:c>
      <x:c r="B331" s="75" t="n">
        <x:v>46280</x:v>
      </x:c>
      <x:c r="C331" s="71" t="str">
        <x:v>Normal</x:v>
      </x:c>
      <x:c r="D331" s="71" t="str">
        <x:v>FG-010</x:v>
      </x:c>
      <x:c r="E331" s="71" t="str">
        <x:v>RM-055</x:v>
      </x:c>
      <x:c r="F331" s="71" t="str">
        <x:v>Packaging 055</x:v>
      </x:c>
      <x:c r="G331" s="76" t="n">
        <x:v>60</x:v>
      </x:c>
      <x:c r="H331" s="76" t="n">
        <x:v>29.99</x:v>
      </x:c>
      <x:c r="I331" s="76" t="n">
        <x:f>G331*H331</x:f>
        <x:v>1799.3999999999999</x:v>
      </x:c>
      <x:c r="J331" s="76" t="n">
        <x:f>IFERROR(INDEX('Inventory'!$E$2:$E$71,MATCH(E331,'Inventory'!$A$2:$A$71,0)),0)</x:f>
        <x:v>6551</x:v>
      </x:c>
      <x:c r="K331" s="76" t="n">
        <x:f>IFERROR(INDEX('Inventory'!$F$2:$F$71,MATCH(E331,'Inventory'!$A$2:$A$71,0)),0)</x:f>
        <x:v>738</x:v>
      </x:c>
      <x:c r="L331" s="76" t="n">
        <x:f>SUMIFS('Open_POs'!$D$2:$D$26,'Open_POs'!$B$2:$B$26,E331,'Open_POs'!$E$2:$E$26,"&lt;="&amp;B331)</x:f>
        <x:v>5000</x:v>
      </x:c>
      <x:c r="M331" s="76" t="n">
        <x:f>J331+L331</x:f>
        <x:v>11551</x:v>
      </x:c>
      <x:c r="N331" s="76" t="n">
        <x:f>SUMIFS($I$2:I331,$E$2:E331,E331)</x:f>
        <x:v>6597.799999999999</x:v>
      </x:c>
      <x:c r="O331" s="76" t="n">
        <x:f>M331-N331</x:f>
        <x:v>4953.200000000001</x:v>
      </x:c>
      <x:c r="P331" s="71" t="str">
        <x:f>IF(O331&lt;0,"SHORT",IF(O331&lt;K331,"BELOW TARGET","COVERED"))</x:f>
        <x:v>COVERED</x:v>
      </x:c>
      <x:c r="Q331" s="63" t="str">
        <x:f>IF(AND(P331="SHORT",COUNTIFS($E$2:E331,E331,$P$2:P331,"SHORT")=1),B331,"")</x:f>
      </x:c>
    </x:row>
    <x:row r="332" ht="15" customHeight="1">
      <x:c r="A332" s="71" t="str">
        <x:v>SO-26023</x:v>
      </x:c>
      <x:c r="B332" s="75" t="n">
        <x:v>46280</x:v>
      </x:c>
      <x:c r="C332" s="71" t="str">
        <x:v>Normal</x:v>
      </x:c>
      <x:c r="D332" s="71" t="str">
        <x:v>FG-010</x:v>
      </x:c>
      <x:c r="E332" s="71" t="str">
        <x:v>RM-059</x:v>
      </x:c>
      <x:c r="F332" s="71" t="str">
        <x:v>Additive 059</x:v>
      </x:c>
      <x:c r="G332" s="76" t="n">
        <x:v>60</x:v>
      </x:c>
      <x:c r="H332" s="76" t="n">
        <x:v>109.43</x:v>
      </x:c>
      <x:c r="I332" s="76" t="n">
        <x:f>G332*H332</x:f>
        <x:v>6565.8</x:v>
      </x:c>
      <x:c r="J332" s="76" t="n">
        <x:f>IFERROR(INDEX('Inventory'!$E$2:$E$71,MATCH(E332,'Inventory'!$A$2:$A$71,0)),0)</x:f>
        <x:v>10488</x:v>
      </x:c>
      <x:c r="K332" s="76" t="n">
        <x:f>IFERROR(INDEX('Inventory'!$F$2:$F$71,MATCH(E332,'Inventory'!$A$2:$A$71,0)),0)</x:f>
        <x:v>1442</x:v>
      </x:c>
      <x:c r="L332" s="76" t="n">
        <x:f>SUMIFS('Open_POs'!$D$2:$D$26,'Open_POs'!$B$2:$B$26,E332,'Open_POs'!$E$2:$E$26,"&lt;="&amp;B332)</x:f>
        <x:v>0</x:v>
      </x:c>
      <x:c r="M332" s="76" t="n">
        <x:f>J332+L332</x:f>
        <x:v>10488</x:v>
      </x:c>
      <x:c r="N332" s="76" t="n">
        <x:f>SUMIFS($I$2:I332,$E$2:E332,E332)</x:f>
        <x:v>36351.8</x:v>
      </x:c>
      <x:c r="O332" s="76" t="n">
        <x:f>M332-N332</x:f>
        <x:v>-25863.800000000003</x:v>
      </x:c>
      <x:c r="P332" s="71" t="str">
        <x:f>IF(O332&lt;0,"SHORT",IF(O332&lt;K332,"BELOW TARGET","COVERED"))</x:f>
        <x:v>SHORT</x:v>
      </x:c>
      <x:c r="Q332" s="63" t="str">
        <x:f>IF(AND(P332="SHORT",COUNTIFS($E$2:E332,E332,$P$2:P332,"SHORT")=1),B332,"")</x:f>
      </x:c>
    </x:row>
    <x:row r="333" ht="15" customHeight="1">
      <x:c r="A333" s="71" t="str">
        <x:v>SO-26023</x:v>
      </x:c>
      <x:c r="B333" s="75" t="n">
        <x:v>46280</x:v>
      </x:c>
      <x:c r="C333" s="71" t="str">
        <x:v>Normal</x:v>
      </x:c>
      <x:c r="D333" s="71" t="str">
        <x:v>FG-010</x:v>
      </x:c>
      <x:c r="E333" s="71" t="str">
        <x:v>RM-063</x:v>
      </x:c>
      <x:c r="F333" s="71" t="str">
        <x:v>Filler 063</x:v>
      </x:c>
      <x:c r="G333" s="76" t="n">
        <x:v>60</x:v>
      </x:c>
      <x:c r="H333" s="76" t="n">
        <x:v>72.93</x:v>
      </x:c>
      <x:c r="I333" s="76" t="n">
        <x:f>G333*H333</x:f>
        <x:v>4375.8</x:v>
      </x:c>
      <x:c r="J333" s="76" t="n">
        <x:f>IFERROR(INDEX('Inventory'!$E$2:$E$71,MATCH(E333,'Inventory'!$A$2:$A$71,0)),0)</x:f>
        <x:v>7508</x:v>
      </x:c>
      <x:c r="K333" s="76" t="n">
        <x:f>IFERROR(INDEX('Inventory'!$F$2:$F$71,MATCH(E333,'Inventory'!$A$2:$A$71,0)),0)</x:f>
        <x:v>1090</x:v>
      </x:c>
      <x:c r="L333" s="76" t="n">
        <x:f>SUMIFS('Open_POs'!$D$2:$D$26,'Open_POs'!$B$2:$B$26,E333,'Open_POs'!$E$2:$E$26,"&lt;="&amp;B333)</x:f>
        <x:v>5000</x:v>
      </x:c>
      <x:c r="M333" s="76" t="n">
        <x:f>J333+L333</x:f>
        <x:v>12508</x:v>
      </x:c>
      <x:c r="N333" s="76" t="n">
        <x:f>SUMIFS($I$2:I333,$E$2:E333,E333)</x:f>
        <x:v>52649.200000000004</x:v>
      </x:c>
      <x:c r="O333" s="76" t="n">
        <x:f>M333-N333</x:f>
        <x:v>-40141.200000000004</x:v>
      </x:c>
      <x:c r="P333" s="71" t="str">
        <x:f>IF(O333&lt;0,"SHORT",IF(O333&lt;K333,"BELOW TARGET","COVERED"))</x:f>
        <x:v>SHORT</x:v>
      </x:c>
      <x:c r="Q333" s="63" t="str">
        <x:f>IF(AND(P333="SHORT",COUNTIFS($E$2:E333,E333,$P$2:P333,"SHORT")=1),B333,"")</x:f>
      </x:c>
    </x:row>
    <x:row r="334" ht="15" customHeight="1">
      <x:c r="A334" s="71" t="str">
        <x:v>SO-26053</x:v>
      </x:c>
      <x:c r="B334" s="75" t="n">
        <x:v>46280</x:v>
      </x:c>
      <x:c r="C334" s="71" t="str">
        <x:v>Normal</x:v>
      </x:c>
      <x:c r="D334" s="71" t="str">
        <x:v>FG-011</x:v>
      </x:c>
      <x:c r="E334" s="71" t="str">
        <x:v>RM-005</x:v>
      </x:c>
      <x:c r="F334" s="71" t="str">
        <x:v>Packaging 005</x:v>
      </x:c>
      <x:c r="G334" s="76" t="n">
        <x:v>40</x:v>
      </x:c>
      <x:c r="H334" s="76" t="n">
        <x:v>66.99</x:v>
      </x:c>
      <x:c r="I334" s="76" t="n">
        <x:f>G334*H334</x:f>
        <x:v>2679.6</x:v>
      </x:c>
      <x:c r="J334" s="76" t="n">
        <x:f>IFERROR(INDEX('Inventory'!$E$2:$E$71,MATCH(E334,'Inventory'!$A$2:$A$71,0)),0)</x:f>
        <x:v>8699</x:v>
      </x:c>
      <x:c r="K334" s="76" t="n">
        <x:f>IFERROR(INDEX('Inventory'!$F$2:$F$71,MATCH(E334,'Inventory'!$A$2:$A$71,0)),0)</x:f>
        <x:v>1174</x:v>
      </x:c>
      <x:c r="L334" s="76" t="n">
        <x:f>SUMIFS('Open_POs'!$D$2:$D$26,'Open_POs'!$B$2:$B$26,E334,'Open_POs'!$E$2:$E$26,"&lt;="&amp;B334)</x:f>
        <x:v>0</x:v>
      </x:c>
      <x:c r="M334" s="76" t="n">
        <x:f>J334+L334</x:f>
        <x:v>8699</x:v>
      </x:c>
      <x:c r="N334" s="76" t="n">
        <x:f>SUMIFS($I$2:I334,$E$2:E334,E334)</x:f>
        <x:v>27184.6</x:v>
      </x:c>
      <x:c r="O334" s="76" t="n">
        <x:f>M334-N334</x:f>
        <x:v>-18485.6</x:v>
      </x:c>
      <x:c r="P334" s="71" t="str">
        <x:f>IF(O334&lt;0,"SHORT",IF(O334&lt;K334,"BELOW TARGET","COVERED"))</x:f>
        <x:v>SHORT</x:v>
      </x:c>
      <x:c r="Q334" s="63" t="str">
        <x:f>IF(AND(P334="SHORT",COUNTIFS($E$2:E334,E334,$P$2:P334,"SHORT")=1),B334,"")</x:f>
      </x:c>
    </x:row>
    <x:row r="335" ht="15" customHeight="1">
      <x:c r="A335" s="71" t="str">
        <x:v>SO-26053</x:v>
      </x:c>
      <x:c r="B335" s="75" t="n">
        <x:v>46280</x:v>
      </x:c>
      <x:c r="C335" s="71" t="str">
        <x:v>Normal</x:v>
      </x:c>
      <x:c r="D335" s="71" t="str">
        <x:v>FG-011</x:v>
      </x:c>
      <x:c r="E335" s="71" t="str">
        <x:v>RM-008</x:v>
      </x:c>
      <x:c r="F335" s="71" t="str">
        <x:v>Filler 008</x:v>
      </x:c>
      <x:c r="G335" s="76" t="n">
        <x:v>40</x:v>
      </x:c>
      <x:c r="H335" s="76" t="n">
        <x:v>39.55</x:v>
      </x:c>
      <x:c r="I335" s="76" t="n">
        <x:f>G335*H335</x:f>
        <x:v>1582</x:v>
      </x:c>
      <x:c r="J335" s="76" t="n">
        <x:f>IFERROR(INDEX('Inventory'!$E$2:$E$71,MATCH(E335,'Inventory'!$A$2:$A$71,0)),0)</x:f>
        <x:v>430</x:v>
      </x:c>
      <x:c r="K335" s="76" t="n">
        <x:f>IFERROR(INDEX('Inventory'!$F$2:$F$71,MATCH(E335,'Inventory'!$A$2:$A$71,0)),0)</x:f>
        <x:v>1037</x:v>
      </x:c>
      <x:c r="L335" s="76" t="n">
        <x:f>SUMIFS('Open_POs'!$D$2:$D$26,'Open_POs'!$B$2:$B$26,E335,'Open_POs'!$E$2:$E$26,"&lt;="&amp;B335)</x:f>
        <x:v>0</x:v>
      </x:c>
      <x:c r="M335" s="76" t="n">
        <x:f>J335+L335</x:f>
        <x:v>430</x:v>
      </x:c>
      <x:c r="N335" s="76" t="n">
        <x:f>SUMIFS($I$2:I335,$E$2:E335,E335)</x:f>
        <x:v>18555.5</x:v>
      </x:c>
      <x:c r="O335" s="76" t="n">
        <x:f>M335-N335</x:f>
        <x:v>-18125.5</x:v>
      </x:c>
      <x:c r="P335" s="71" t="str">
        <x:f>IF(O335&lt;0,"SHORT",IF(O335&lt;K335,"BELOW TARGET","COVERED"))</x:f>
        <x:v>SHORT</x:v>
      </x:c>
      <x:c r="Q335" s="63" t="str">
        <x:f>IF(AND(P335="SHORT",COUNTIFS($E$2:E335,E335,$P$2:P335,"SHORT")=1),B335,"")</x:f>
      </x:c>
    </x:row>
    <x:row r="336" ht="15" customHeight="1">
      <x:c r="A336" s="71" t="str">
        <x:v>SO-26053</x:v>
      </x:c>
      <x:c r="B336" s="75" t="n">
        <x:v>46280</x:v>
      </x:c>
      <x:c r="C336" s="71" t="str">
        <x:v>Normal</x:v>
      </x:c>
      <x:c r="D336" s="71" t="str">
        <x:v>FG-011</x:v>
      </x:c>
      <x:c r="E336" s="71" t="str">
        <x:v>RM-010</x:v>
      </x:c>
      <x:c r="F336" s="71" t="str">
        <x:v>Packaging 010</x:v>
      </x:c>
      <x:c r="G336" s="76" t="n">
        <x:v>40</x:v>
      </x:c>
      <x:c r="H336" s="76" t="n">
        <x:v>104.73</x:v>
      </x:c>
      <x:c r="I336" s="76" t="n">
        <x:f>G336*H336</x:f>
        <x:v>4189.2</x:v>
      </x:c>
      <x:c r="J336" s="76" t="n">
        <x:f>IFERROR(INDEX('Inventory'!$E$2:$E$71,MATCH(E336,'Inventory'!$A$2:$A$71,0)),0)</x:f>
        <x:v>14191</x:v>
      </x:c>
      <x:c r="K336" s="76" t="n">
        <x:f>IFERROR(INDEX('Inventory'!$F$2:$F$71,MATCH(E336,'Inventory'!$A$2:$A$71,0)),0)</x:f>
        <x:v>615</x:v>
      </x:c>
      <x:c r="L336" s="76" t="n">
        <x:f>SUMIFS('Open_POs'!$D$2:$D$26,'Open_POs'!$B$2:$B$26,E336,'Open_POs'!$E$2:$E$26,"&lt;="&amp;B336)</x:f>
        <x:v>0</x:v>
      </x:c>
      <x:c r="M336" s="76" t="n">
        <x:f>J336+L336</x:f>
        <x:v>14191</x:v>
      </x:c>
      <x:c r="N336" s="76" t="n">
        <x:f>SUMIFS($I$2:I336,$E$2:E336,E336)</x:f>
        <x:v>38913.3</x:v>
      </x:c>
      <x:c r="O336" s="76" t="n">
        <x:f>M336-N336</x:f>
        <x:v>-24722.300000000003</x:v>
      </x:c>
      <x:c r="P336" s="71" t="str">
        <x:f>IF(O336&lt;0,"SHORT",IF(O336&lt;K336,"BELOW TARGET","COVERED"))</x:f>
        <x:v>SHORT</x:v>
      </x:c>
      <x:c r="Q336" s="63" t="str">
        <x:f>IF(AND(P336="SHORT",COUNTIFS($E$2:E336,E336,$P$2:P336,"SHORT")=1),B336,"")</x:f>
      </x:c>
    </x:row>
    <x:row r="337" ht="15" customHeight="1">
      <x:c r="A337" s="71" t="str">
        <x:v>SO-26053</x:v>
      </x:c>
      <x:c r="B337" s="75" t="n">
        <x:v>46280</x:v>
      </x:c>
      <x:c r="C337" s="71" t="str">
        <x:v>Normal</x:v>
      </x:c>
      <x:c r="D337" s="71" t="str">
        <x:v>FG-011</x:v>
      </x:c>
      <x:c r="E337" s="71" t="str">
        <x:v>RM-019</x:v>
      </x:c>
      <x:c r="F337" s="71" t="str">
        <x:v>Additive 019</x:v>
      </x:c>
      <x:c r="G337" s="76" t="n">
        <x:v>40</x:v>
      </x:c>
      <x:c r="H337" s="76" t="n">
        <x:v>13.26</x:v>
      </x:c>
      <x:c r="I337" s="76" t="n">
        <x:f>G337*H337</x:f>
        <x:v>530.4</x:v>
      </x:c>
      <x:c r="J337" s="76" t="n">
        <x:f>IFERROR(INDEX('Inventory'!$E$2:$E$71,MATCH(E337,'Inventory'!$A$2:$A$71,0)),0)</x:f>
        <x:v>6552</x:v>
      </x:c>
      <x:c r="K337" s="76" t="n">
        <x:f>IFERROR(INDEX('Inventory'!$F$2:$F$71,MATCH(E337,'Inventory'!$A$2:$A$71,0)),0)</x:f>
        <x:v>1079</x:v>
      </x:c>
      <x:c r="L337" s="76" t="n">
        <x:f>SUMIFS('Open_POs'!$D$2:$D$26,'Open_POs'!$B$2:$B$26,E337,'Open_POs'!$E$2:$E$26,"&lt;="&amp;B337)</x:f>
        <x:v>0</x:v>
      </x:c>
      <x:c r="M337" s="76" t="n">
        <x:f>J337+L337</x:f>
        <x:v>6552</x:v>
      </x:c>
      <x:c r="N337" s="76" t="n">
        <x:f>SUMIFS($I$2:I337,$E$2:E337,E337)</x:f>
        <x:v>9667.800000000001</x:v>
      </x:c>
      <x:c r="O337" s="76" t="n">
        <x:f>M337-N337</x:f>
        <x:v>-3115.800000000001</x:v>
      </x:c>
      <x:c r="P337" s="71" t="str">
        <x:f>IF(O337&lt;0,"SHORT",IF(O337&lt;K337,"BELOW TARGET","COVERED"))</x:f>
        <x:v>SHORT</x:v>
      </x:c>
      <x:c r="Q337" s="63" t="str">
        <x:f>IF(AND(P337="SHORT",COUNTIFS($E$2:E337,E337,$P$2:P337,"SHORT")=1),B337,"")</x:f>
      </x:c>
    </x:row>
    <x:row r="338" ht="15" customHeight="1">
      <x:c r="A338" s="71" t="str">
        <x:v>SO-26053</x:v>
      </x:c>
      <x:c r="B338" s="75" t="n">
        <x:v>46280</x:v>
      </x:c>
      <x:c r="C338" s="71" t="str">
        <x:v>Normal</x:v>
      </x:c>
      <x:c r="D338" s="71" t="str">
        <x:v>FG-011</x:v>
      </x:c>
      <x:c r="E338" s="71" t="str">
        <x:v>RM-031</x:v>
      </x:c>
      <x:c r="F338" s="71" t="str">
        <x:v>Resin 031</x:v>
      </x:c>
      <x:c r="G338" s="76" t="n">
        <x:v>40</x:v>
      </x:c>
      <x:c r="H338" s="76" t="n">
        <x:v>21.51</x:v>
      </x:c>
      <x:c r="I338" s="76" t="n">
        <x:f>G338*H338</x:f>
        <x:v>860.4000000000001</x:v>
      </x:c>
      <x:c r="J338" s="76" t="n">
        <x:f>IFERROR(INDEX('Inventory'!$E$2:$E$71,MATCH(E338,'Inventory'!$A$2:$A$71,0)),0)</x:f>
        <x:v>6087</x:v>
      </x:c>
      <x:c r="K338" s="76" t="n">
        <x:f>IFERROR(INDEX('Inventory'!$F$2:$F$71,MATCH(E338,'Inventory'!$A$2:$A$71,0)),0)</x:f>
        <x:v>714</x:v>
      </x:c>
      <x:c r="L338" s="76" t="n">
        <x:f>SUMIFS('Open_POs'!$D$2:$D$26,'Open_POs'!$B$2:$B$26,E338,'Open_POs'!$E$2:$E$26,"&lt;="&amp;B338)</x:f>
        <x:v>0</x:v>
      </x:c>
      <x:c r="M338" s="76" t="n">
        <x:f>J338+L338</x:f>
        <x:v>6087</x:v>
      </x:c>
      <x:c r="N338" s="76" t="n">
        <x:f>SUMIFS($I$2:I338,$E$2:E338,E338)</x:f>
        <x:v>13479.3</x:v>
      </x:c>
      <x:c r="O338" s="76" t="n">
        <x:f>M338-N338</x:f>
        <x:v>-7392.299999999999</x:v>
      </x:c>
      <x:c r="P338" s="71" t="str">
        <x:f>IF(O338&lt;0,"SHORT",IF(O338&lt;K338,"BELOW TARGET","COVERED"))</x:f>
        <x:v>SHORT</x:v>
      </x:c>
      <x:c r="Q338" s="63" t="str">
        <x:f>IF(AND(P338="SHORT",COUNTIFS($E$2:E338,E338,$P$2:P338,"SHORT")=1),B338,"")</x:f>
      </x:c>
    </x:row>
    <x:row r="339" ht="15" customHeight="1">
      <x:c r="A339" s="71" t="str">
        <x:v>SO-26053</x:v>
      </x:c>
      <x:c r="B339" s="75" t="n">
        <x:v>46280</x:v>
      </x:c>
      <x:c r="C339" s="71" t="str">
        <x:v>Normal</x:v>
      </x:c>
      <x:c r="D339" s="71" t="str">
        <x:v>FG-011</x:v>
      </x:c>
      <x:c r="E339" s="71" t="str">
        <x:v>RM-032</x:v>
      </x:c>
      <x:c r="F339" s="71" t="str">
        <x:v>Pigment 032</x:v>
      </x:c>
      <x:c r="G339" s="76" t="n">
        <x:v>40</x:v>
      </x:c>
      <x:c r="H339" s="76" t="n">
        <x:v>119.29</x:v>
      </x:c>
      <x:c r="I339" s="76" t="n">
        <x:f>G339*H339</x:f>
        <x:v>4771.6</x:v>
      </x:c>
      <x:c r="J339" s="76" t="n">
        <x:f>IFERROR(INDEX('Inventory'!$E$2:$E$71,MATCH(E339,'Inventory'!$A$2:$A$71,0)),0)</x:f>
        <x:v>674</x:v>
      </x:c>
      <x:c r="K339" s="76" t="n">
        <x:f>IFERROR(INDEX('Inventory'!$F$2:$F$71,MATCH(E339,'Inventory'!$A$2:$A$71,0)),0)</x:f>
        <x:v>1056</x:v>
      </x:c>
      <x:c r="L339" s="76" t="n">
        <x:f>SUMIFS('Open_POs'!$D$2:$D$26,'Open_POs'!$B$2:$B$26,E339,'Open_POs'!$E$2:$E$26,"&lt;="&amp;B339)</x:f>
        <x:v>0</x:v>
      </x:c>
      <x:c r="M339" s="76" t="n">
        <x:f>J339+L339</x:f>
        <x:v>674</x:v>
      </x:c>
      <x:c r="N339" s="76" t="n">
        <x:f>SUMIFS($I$2:I339,$E$2:E339,E339)</x:f>
        <x:v>49043.49999999999</x:v>
      </x:c>
      <x:c r="O339" s="76" t="n">
        <x:f>M339-N339</x:f>
        <x:v>-48369.49999999999</x:v>
      </x:c>
      <x:c r="P339" s="71" t="str">
        <x:f>IF(O339&lt;0,"SHORT",IF(O339&lt;K339,"BELOW TARGET","COVERED"))</x:f>
        <x:v>SHORT</x:v>
      </x:c>
      <x:c r="Q339" s="63" t="str">
        <x:f>IF(AND(P339="SHORT",COUNTIFS($E$2:E339,E339,$P$2:P339,"SHORT")=1),B339,"")</x:f>
      </x:c>
    </x:row>
    <x:row r="340" ht="15" customHeight="1">
      <x:c r="A340" s="71" t="str">
        <x:v>SO-26053</x:v>
      </x:c>
      <x:c r="B340" s="75" t="n">
        <x:v>46280</x:v>
      </x:c>
      <x:c r="C340" s="71" t="str">
        <x:v>Normal</x:v>
      </x:c>
      <x:c r="D340" s="71" t="str">
        <x:v>FG-011</x:v>
      </x:c>
      <x:c r="E340" s="71" t="str">
        <x:v>RM-036</x:v>
      </x:c>
      <x:c r="F340" s="71" t="str">
        <x:v>Resin 036</x:v>
      </x:c>
      <x:c r="G340" s="76" t="n">
        <x:v>40</x:v>
      </x:c>
      <x:c r="H340" s="76" t="n">
        <x:v>52.72</x:v>
      </x:c>
      <x:c r="I340" s="76" t="n">
        <x:f>G340*H340</x:f>
        <x:v>2108.8</x:v>
      </x:c>
      <x:c r="J340" s="76" t="n">
        <x:f>IFERROR(INDEX('Inventory'!$E$2:$E$71,MATCH(E340,'Inventory'!$A$2:$A$71,0)),0)</x:f>
        <x:v>12427</x:v>
      </x:c>
      <x:c r="K340" s="76" t="n">
        <x:f>IFERROR(INDEX('Inventory'!$F$2:$F$71,MATCH(E340,'Inventory'!$A$2:$A$71,0)),0)</x:f>
        <x:v>1016</x:v>
      </x:c>
      <x:c r="L340" s="76" t="n">
        <x:f>SUMIFS('Open_POs'!$D$2:$D$26,'Open_POs'!$B$2:$B$26,E340,'Open_POs'!$E$2:$E$26,"&lt;="&amp;B340)</x:f>
        <x:v>1000</x:v>
      </x:c>
      <x:c r="M340" s="76" t="n">
        <x:f>J340+L340</x:f>
        <x:v>13427</x:v>
      </x:c>
      <x:c r="N340" s="76" t="n">
        <x:f>SUMIFS($I$2:I340,$E$2:E340,E340)</x:f>
        <x:v>18197.600000000002</x:v>
      </x:c>
      <x:c r="O340" s="76" t="n">
        <x:f>M340-N340</x:f>
        <x:v>-4770.600000000002</x:v>
      </x:c>
      <x:c r="P340" s="71" t="str">
        <x:f>IF(O340&lt;0,"SHORT",IF(O340&lt;K340,"BELOW TARGET","COVERED"))</x:f>
        <x:v>SHORT</x:v>
      </x:c>
      <x:c r="Q340" s="63" t="str">
        <x:f>IF(AND(P340="SHORT",COUNTIFS($E$2:E340,E340,$P$2:P340,"SHORT")=1),B340,"")</x:f>
      </x:c>
    </x:row>
    <x:row r="341" ht="15" customHeight="1">
      <x:c r="A341" s="71" t="str">
        <x:v>SO-26053</x:v>
      </x:c>
      <x:c r="B341" s="75" t="n">
        <x:v>46280</x:v>
      </x:c>
      <x:c r="C341" s="71" t="str">
        <x:v>Normal</x:v>
      </x:c>
      <x:c r="D341" s="71" t="str">
        <x:v>FG-011</x:v>
      </x:c>
      <x:c r="E341" s="71" t="str">
        <x:v>RM-058</x:v>
      </x:c>
      <x:c r="F341" s="71" t="str">
        <x:v>Filler 058</x:v>
      </x:c>
      <x:c r="G341" s="76" t="n">
        <x:v>40</x:v>
      </x:c>
      <x:c r="H341" s="76" t="n">
        <x:v>26.63</x:v>
      </x:c>
      <x:c r="I341" s="76" t="n">
        <x:f>G341*H341</x:f>
        <x:v>1065.2</x:v>
      </x:c>
      <x:c r="J341" s="76" t="n">
        <x:f>IFERROR(INDEX('Inventory'!$E$2:$E$71,MATCH(E341,'Inventory'!$A$2:$A$71,0)),0)</x:f>
        <x:v>9929</x:v>
      </x:c>
      <x:c r="K341" s="76" t="n">
        <x:f>IFERROR(INDEX('Inventory'!$F$2:$F$71,MATCH(E341,'Inventory'!$A$2:$A$71,0)),0)</x:f>
        <x:v>701</x:v>
      </x:c>
      <x:c r="L341" s="76" t="n">
        <x:f>SUMIFS('Open_POs'!$D$2:$D$26,'Open_POs'!$B$2:$B$26,E341,'Open_POs'!$E$2:$E$26,"&lt;="&amp;B341)</x:f>
        <x:v>0</x:v>
      </x:c>
      <x:c r="M341" s="76" t="n">
        <x:f>J341+L341</x:f>
        <x:v>9929</x:v>
      </x:c>
      <x:c r="N341" s="76" t="n">
        <x:f>SUMIFS($I$2:I341,$E$2:E341,E341)</x:f>
        <x:v>49358.3</x:v>
      </x:c>
      <x:c r="O341" s="76" t="n">
        <x:f>M341-N341</x:f>
        <x:v>-39429.3</x:v>
      </x:c>
      <x:c r="P341" s="71" t="str">
        <x:f>IF(O341&lt;0,"SHORT",IF(O341&lt;K341,"BELOW TARGET","COVERED"))</x:f>
        <x:v>SHORT</x:v>
      </x:c>
      <x:c r="Q341" s="63" t="str">
        <x:f>IF(AND(P341="SHORT",COUNTIFS($E$2:E341,E341,$P$2:P341,"SHORT")=1),B341,"")</x:f>
      </x:c>
    </x:row>
    <x:row r="342" ht="15" customHeight="1">
      <x:c r="A342" s="71" t="str">
        <x:v>SO-26080</x:v>
      </x:c>
      <x:c r="B342" s="75" t="n">
        <x:v>46280</x:v>
      </x:c>
      <x:c r="C342" s="71" t="str">
        <x:v>Normal</x:v>
      </x:c>
      <x:c r="D342" s="71" t="str">
        <x:v>FG-006</x:v>
      </x:c>
      <x:c r="E342" s="71" t="str">
        <x:v>RM-021</x:v>
      </x:c>
      <x:c r="F342" s="71" t="str">
        <x:v>Resin 021</x:v>
      </x:c>
      <x:c r="G342" s="76" t="n">
        <x:v>100</x:v>
      </x:c>
      <x:c r="H342" s="76" t="n">
        <x:v>47.4</x:v>
      </x:c>
      <x:c r="I342" s="76" t="n">
        <x:f>G342*H342</x:f>
        <x:v>4740</x:v>
      </x:c>
      <x:c r="J342" s="76" t="n">
        <x:f>IFERROR(INDEX('Inventory'!$E$2:$E$71,MATCH(E342,'Inventory'!$A$2:$A$71,0)),0)</x:f>
        <x:v>8041</x:v>
      </x:c>
      <x:c r="K342" s="76" t="n">
        <x:f>IFERROR(INDEX('Inventory'!$F$2:$F$71,MATCH(E342,'Inventory'!$A$2:$A$71,0)),0)</x:f>
        <x:v>264</x:v>
      </x:c>
      <x:c r="L342" s="76" t="n">
        <x:f>SUMIFS('Open_POs'!$D$2:$D$26,'Open_POs'!$B$2:$B$26,E342,'Open_POs'!$E$2:$E$26,"&lt;="&amp;B342)</x:f>
        <x:v>0</x:v>
      </x:c>
      <x:c r="M342" s="76" t="n">
        <x:f>J342+L342</x:f>
        <x:v>8041</x:v>
      </x:c>
      <x:c r="N342" s="76" t="n">
        <x:f>SUMIFS($I$2:I342,$E$2:E342,E342)</x:f>
        <x:v>11790.599999999999</x:v>
      </x:c>
      <x:c r="O342" s="76" t="n">
        <x:f>M342-N342</x:f>
        <x:v>-3749.5999999999985</x:v>
      </x:c>
      <x:c r="P342" s="71" t="str">
        <x:f>IF(O342&lt;0,"SHORT",IF(O342&lt;K342,"BELOW TARGET","COVERED"))</x:f>
        <x:v>SHORT</x:v>
      </x:c>
      <x:c r="Q342" s="63" t="n">
        <x:f>IF(AND(P342="SHORT",COUNTIFS($E$2:E342,E342,$P$2:P342,"SHORT")=1),B342,"")</x:f>
        <x:v>46280</x:v>
      </x:c>
    </x:row>
    <x:row r="343" ht="15" customHeight="1">
      <x:c r="A343" s="71" t="str">
        <x:v>SO-26080</x:v>
      </x:c>
      <x:c r="B343" s="75" t="n">
        <x:v>46280</x:v>
      </x:c>
      <x:c r="C343" s="71" t="str">
        <x:v>Normal</x:v>
      </x:c>
      <x:c r="D343" s="71" t="str">
        <x:v>FG-006</x:v>
      </x:c>
      <x:c r="E343" s="71" t="str">
        <x:v>RM-027</x:v>
      </x:c>
      <x:c r="F343" s="71" t="str">
        <x:v>Pigment 027</x:v>
      </x:c>
      <x:c r="G343" s="76" t="n">
        <x:v>100</x:v>
      </x:c>
      <x:c r="H343" s="76" t="n">
        <x:v>47.98</x:v>
      </x:c>
      <x:c r="I343" s="76" t="n">
        <x:f>G343*H343</x:f>
        <x:v>4798</x:v>
      </x:c>
      <x:c r="J343" s="76" t="n">
        <x:f>IFERROR(INDEX('Inventory'!$E$2:$E$71,MATCH(E343,'Inventory'!$A$2:$A$71,0)),0)</x:f>
        <x:v>5600</x:v>
      </x:c>
      <x:c r="K343" s="76" t="n">
        <x:f>IFERROR(INDEX('Inventory'!$F$2:$F$71,MATCH(E343,'Inventory'!$A$2:$A$71,0)),0)</x:f>
        <x:v>267</x:v>
      </x:c>
      <x:c r="L343" s="76" t="n">
        <x:f>SUMIFS('Open_POs'!$D$2:$D$26,'Open_POs'!$B$2:$B$26,E343,'Open_POs'!$E$2:$E$26,"&lt;="&amp;B343)</x:f>
        <x:v>0</x:v>
      </x:c>
      <x:c r="M343" s="76" t="n">
        <x:f>J343+L343</x:f>
        <x:v>5600</x:v>
      </x:c>
      <x:c r="N343" s="76" t="n">
        <x:f>SUMIFS($I$2:I343,$E$2:E343,E343)</x:f>
        <x:v>12222.099999999999</x:v>
      </x:c>
      <x:c r="O343" s="76" t="n">
        <x:f>M343-N343</x:f>
        <x:v>-6622.0999999999985</x:v>
      </x:c>
      <x:c r="P343" s="71" t="str">
        <x:f>IF(O343&lt;0,"SHORT",IF(O343&lt;K343,"BELOW TARGET","COVERED"))</x:f>
        <x:v>SHORT</x:v>
      </x:c>
      <x:c r="Q343" s="63" t="str">
        <x:f>IF(AND(P343="SHORT",COUNTIFS($E$2:E343,E343,$P$2:P343,"SHORT")=1),B343,"")</x:f>
      </x:c>
    </x:row>
    <x:row r="344" ht="15" customHeight="1">
      <x:c r="A344" s="71" t="str">
        <x:v>SO-26080</x:v>
      </x:c>
      <x:c r="B344" s="75" t="n">
        <x:v>46280</x:v>
      </x:c>
      <x:c r="C344" s="71" t="str">
        <x:v>Normal</x:v>
      </x:c>
      <x:c r="D344" s="71" t="str">
        <x:v>FG-006</x:v>
      </x:c>
      <x:c r="E344" s="71" t="str">
        <x:v>RM-030</x:v>
      </x:c>
      <x:c r="F344" s="71" t="str">
        <x:v>Packaging 030</x:v>
      </x:c>
      <x:c r="G344" s="76" t="n">
        <x:v>100</x:v>
      </x:c>
      <x:c r="H344" s="76" t="n">
        <x:v>62.11</x:v>
      </x:c>
      <x:c r="I344" s="76" t="n">
        <x:f>G344*H344</x:f>
        <x:v>6211</x:v>
      </x:c>
      <x:c r="J344" s="76" t="n">
        <x:f>IFERROR(INDEX('Inventory'!$E$2:$E$71,MATCH(E344,'Inventory'!$A$2:$A$71,0)),0)</x:f>
        <x:v>9755</x:v>
      </x:c>
      <x:c r="K344" s="76" t="n">
        <x:f>IFERROR(INDEX('Inventory'!$F$2:$F$71,MATCH(E344,'Inventory'!$A$2:$A$71,0)),0)</x:f>
        <x:v>696</x:v>
      </x:c>
      <x:c r="L344" s="76" t="n">
        <x:f>SUMIFS('Open_POs'!$D$2:$D$26,'Open_POs'!$B$2:$B$26,E344,'Open_POs'!$E$2:$E$26,"&lt;="&amp;B344)</x:f>
        <x:v>2500</x:v>
      </x:c>
      <x:c r="M344" s="76" t="n">
        <x:f>J344+L344</x:f>
        <x:v>12255</x:v>
      </x:c>
      <x:c r="N344" s="76" t="n">
        <x:f>SUMIFS($I$2:I344,$E$2:E344,E344)</x:f>
        <x:v>6211</x:v>
      </x:c>
      <x:c r="O344" s="76" t="n">
        <x:f>M344-N344</x:f>
        <x:v>6044</x:v>
      </x:c>
      <x:c r="P344" s="71" t="str">
        <x:f>IF(O344&lt;0,"SHORT",IF(O344&lt;K344,"BELOW TARGET","COVERED"))</x:f>
        <x:v>COVERED</x:v>
      </x:c>
      <x:c r="Q344" s="63" t="str">
        <x:f>IF(AND(P344="SHORT",COUNTIFS($E$2:E344,E344,$P$2:P344,"SHORT")=1),B344,"")</x:f>
      </x:c>
    </x:row>
    <x:row r="345" ht="15" customHeight="1">
      <x:c r="A345" s="71" t="str">
        <x:v>SO-26080</x:v>
      </x:c>
      <x:c r="B345" s="75" t="n">
        <x:v>46280</x:v>
      </x:c>
      <x:c r="C345" s="71" t="str">
        <x:v>Normal</x:v>
      </x:c>
      <x:c r="D345" s="71" t="str">
        <x:v>FG-006</x:v>
      </x:c>
      <x:c r="E345" s="71" t="str">
        <x:v>RM-036</x:v>
      </x:c>
      <x:c r="F345" s="71" t="str">
        <x:v>Resin 036</x:v>
      </x:c>
      <x:c r="G345" s="76" t="n">
        <x:v>100</x:v>
      </x:c>
      <x:c r="H345" s="76" t="n">
        <x:v>70.07</x:v>
      </x:c>
      <x:c r="I345" s="76" t="n">
        <x:f>G345*H345</x:f>
        <x:v>7006.999999999999</x:v>
      </x:c>
      <x:c r="J345" s="76" t="n">
        <x:f>IFERROR(INDEX('Inventory'!$E$2:$E$71,MATCH(E345,'Inventory'!$A$2:$A$71,0)),0)</x:f>
        <x:v>12427</x:v>
      </x:c>
      <x:c r="K345" s="76" t="n">
        <x:f>IFERROR(INDEX('Inventory'!$F$2:$F$71,MATCH(E345,'Inventory'!$A$2:$A$71,0)),0)</x:f>
        <x:v>1016</x:v>
      </x:c>
      <x:c r="L345" s="76" t="n">
        <x:f>SUMIFS('Open_POs'!$D$2:$D$26,'Open_POs'!$B$2:$B$26,E345,'Open_POs'!$E$2:$E$26,"&lt;="&amp;B345)</x:f>
        <x:v>1000</x:v>
      </x:c>
      <x:c r="M345" s="76" t="n">
        <x:f>J345+L345</x:f>
        <x:v>13427</x:v>
      </x:c>
      <x:c r="N345" s="76" t="n">
        <x:f>SUMIFS($I$2:I345,$E$2:E345,E345)</x:f>
        <x:v>25204.600000000002</x:v>
      </x:c>
      <x:c r="O345" s="76" t="n">
        <x:f>M345-N345</x:f>
        <x:v>-11777.600000000002</x:v>
      </x:c>
      <x:c r="P345" s="71" t="str">
        <x:f>IF(O345&lt;0,"SHORT",IF(O345&lt;K345,"BELOW TARGET","COVERED"))</x:f>
        <x:v>SHORT</x:v>
      </x:c>
      <x:c r="Q345" s="63" t="str">
        <x:f>IF(AND(P345="SHORT",COUNTIFS($E$2:E345,E345,$P$2:P345,"SHORT")=1),B345,"")</x:f>
      </x:c>
    </x:row>
    <x:row r="346" ht="15" customHeight="1">
      <x:c r="A346" s="71" t="str">
        <x:v>SO-26080</x:v>
      </x:c>
      <x:c r="B346" s="75" t="n">
        <x:v>46280</x:v>
      </x:c>
      <x:c r="C346" s="71" t="str">
        <x:v>Normal</x:v>
      </x:c>
      <x:c r="D346" s="71" t="str">
        <x:v>FG-006</x:v>
      </x:c>
      <x:c r="E346" s="71" t="str">
        <x:v>RM-044</x:v>
      </x:c>
      <x:c r="F346" s="71" t="str">
        <x:v>Additive 044</x:v>
      </x:c>
      <x:c r="G346" s="76" t="n">
        <x:v>100</x:v>
      </x:c>
      <x:c r="H346" s="76" t="n">
        <x:v>26.77</x:v>
      </x:c>
      <x:c r="I346" s="76" t="n">
        <x:f>G346*H346</x:f>
        <x:v>2677</x:v>
      </x:c>
      <x:c r="J346" s="76" t="n">
        <x:f>IFERROR(INDEX('Inventory'!$E$2:$E$71,MATCH(E346,'Inventory'!$A$2:$A$71,0)),0)</x:f>
        <x:v>10361</x:v>
      </x:c>
      <x:c r="K346" s="76" t="n">
        <x:f>IFERROR(INDEX('Inventory'!$F$2:$F$71,MATCH(E346,'Inventory'!$A$2:$A$71,0)),0)</x:f>
        <x:v>571</x:v>
      </x:c>
      <x:c r="L346" s="76" t="n">
        <x:f>SUMIFS('Open_POs'!$D$2:$D$26,'Open_POs'!$B$2:$B$26,E346,'Open_POs'!$E$2:$E$26,"&lt;="&amp;B346)</x:f>
        <x:v>0</x:v>
      </x:c>
      <x:c r="M346" s="76" t="n">
        <x:f>J346+L346</x:f>
        <x:v>10361</x:v>
      </x:c>
      <x:c r="N346" s="76" t="n">
        <x:f>SUMIFS($I$2:I346,$E$2:E346,E346)</x:f>
        <x:v>19180.6</x:v>
      </x:c>
      <x:c r="O346" s="76" t="n">
        <x:f>M346-N346</x:f>
        <x:v>-8819.599999999999</x:v>
      </x:c>
      <x:c r="P346" s="71" t="str">
        <x:f>IF(O346&lt;0,"SHORT",IF(O346&lt;K346,"BELOW TARGET","COVERED"))</x:f>
        <x:v>SHORT</x:v>
      </x:c>
      <x:c r="Q346" s="63" t="str">
        <x:f>IF(AND(P346="SHORT",COUNTIFS($E$2:E346,E346,$P$2:P346,"SHORT")=1),B346,"")</x:f>
      </x:c>
    </x:row>
    <x:row r="347" ht="15" customHeight="1">
      <x:c r="A347" s="71" t="str">
        <x:v>SO-26080</x:v>
      </x:c>
      <x:c r="B347" s="75" t="n">
        <x:v>46280</x:v>
      </x:c>
      <x:c r="C347" s="71" t="str">
        <x:v>Normal</x:v>
      </x:c>
      <x:c r="D347" s="71" t="str">
        <x:v>FG-006</x:v>
      </x:c>
      <x:c r="E347" s="71" t="str">
        <x:v>RM-059</x:v>
      </x:c>
      <x:c r="F347" s="71" t="str">
        <x:v>Additive 059</x:v>
      </x:c>
      <x:c r="G347" s="76" t="n">
        <x:v>100</x:v>
      </x:c>
      <x:c r="H347" s="76" t="n">
        <x:v>20.16</x:v>
      </x:c>
      <x:c r="I347" s="76" t="n">
        <x:f>G347*H347</x:f>
        <x:v>2016</x:v>
      </x:c>
      <x:c r="J347" s="76" t="n">
        <x:f>IFERROR(INDEX('Inventory'!$E$2:$E$71,MATCH(E347,'Inventory'!$A$2:$A$71,0)),0)</x:f>
        <x:v>10488</x:v>
      </x:c>
      <x:c r="K347" s="76" t="n">
        <x:f>IFERROR(INDEX('Inventory'!$F$2:$F$71,MATCH(E347,'Inventory'!$A$2:$A$71,0)),0)</x:f>
        <x:v>1442</x:v>
      </x:c>
      <x:c r="L347" s="76" t="n">
        <x:f>SUMIFS('Open_POs'!$D$2:$D$26,'Open_POs'!$B$2:$B$26,E347,'Open_POs'!$E$2:$E$26,"&lt;="&amp;B347)</x:f>
        <x:v>0</x:v>
      </x:c>
      <x:c r="M347" s="76" t="n">
        <x:f>J347+L347</x:f>
        <x:v>10488</x:v>
      </x:c>
      <x:c r="N347" s="76" t="n">
        <x:f>SUMIFS($I$2:I347,$E$2:E347,E347)</x:f>
        <x:v>38367.8</x:v>
      </x:c>
      <x:c r="O347" s="76" t="n">
        <x:f>M347-N347</x:f>
        <x:v>-27879.800000000003</x:v>
      </x:c>
      <x:c r="P347" s="71" t="str">
        <x:f>IF(O347&lt;0,"SHORT",IF(O347&lt;K347,"BELOW TARGET","COVERED"))</x:f>
        <x:v>SHORT</x:v>
      </x:c>
      <x:c r="Q347" s="63" t="str">
        <x:f>IF(AND(P347="SHORT",COUNTIFS($E$2:E347,E347,$P$2:P347,"SHORT")=1),B347,"")</x:f>
      </x:c>
    </x:row>
    <x:row r="348" ht="15" customHeight="1">
      <x:c r="A348" s="71" t="str">
        <x:v>SO-26086</x:v>
      </x:c>
      <x:c r="B348" s="75" t="n">
        <x:v>46280</x:v>
      </x:c>
      <x:c r="C348" s="71" t="str">
        <x:v>Normal</x:v>
      </x:c>
      <x:c r="D348" s="71" t="str">
        <x:v>FG-014</x:v>
      </x:c>
      <x:c r="E348" s="71" t="str">
        <x:v>RM-005</x:v>
      </x:c>
      <x:c r="F348" s="71" t="str">
        <x:v>Packaging 005</x:v>
      </x:c>
      <x:c r="G348" s="76" t="n">
        <x:v>10</x:v>
      </x:c>
      <x:c r="H348" s="76" t="n">
        <x:v>58.21</x:v>
      </x:c>
      <x:c r="I348" s="76" t="n">
        <x:f>G348*H348</x:f>
        <x:v>582.1</x:v>
      </x:c>
      <x:c r="J348" s="76" t="n">
        <x:f>IFERROR(INDEX('Inventory'!$E$2:$E$71,MATCH(E348,'Inventory'!$A$2:$A$71,0)),0)</x:f>
        <x:v>8699</x:v>
      </x:c>
      <x:c r="K348" s="76" t="n">
        <x:f>IFERROR(INDEX('Inventory'!$F$2:$F$71,MATCH(E348,'Inventory'!$A$2:$A$71,0)),0)</x:f>
        <x:v>1174</x:v>
      </x:c>
      <x:c r="L348" s="76" t="n">
        <x:f>SUMIFS('Open_POs'!$D$2:$D$26,'Open_POs'!$B$2:$B$26,E348,'Open_POs'!$E$2:$E$26,"&lt;="&amp;B348)</x:f>
        <x:v>0</x:v>
      </x:c>
      <x:c r="M348" s="76" t="n">
        <x:f>J348+L348</x:f>
        <x:v>8699</x:v>
      </x:c>
      <x:c r="N348" s="76" t="n">
        <x:f>SUMIFS($I$2:I348,$E$2:E348,E348)</x:f>
        <x:v>27766.699999999997</x:v>
      </x:c>
      <x:c r="O348" s="76" t="n">
        <x:f>M348-N348</x:f>
        <x:v>-19067.699999999997</x:v>
      </x:c>
      <x:c r="P348" s="71" t="str">
        <x:f>IF(O348&lt;0,"SHORT",IF(O348&lt;K348,"BELOW TARGET","COVERED"))</x:f>
        <x:v>SHORT</x:v>
      </x:c>
      <x:c r="Q348" s="63" t="str">
        <x:f>IF(AND(P348="SHORT",COUNTIFS($E$2:E348,E348,$P$2:P348,"SHORT")=1),B348,"")</x:f>
      </x:c>
    </x:row>
    <x:row r="349" ht="15" customHeight="1">
      <x:c r="A349" s="71" t="str">
        <x:v>SO-26086</x:v>
      </x:c>
      <x:c r="B349" s="75" t="n">
        <x:v>46280</x:v>
      </x:c>
      <x:c r="C349" s="71" t="str">
        <x:v>Normal</x:v>
      </x:c>
      <x:c r="D349" s="71" t="str">
        <x:v>FG-014</x:v>
      </x:c>
      <x:c r="E349" s="71" t="str">
        <x:v>RM-018</x:v>
      </x:c>
      <x:c r="F349" s="71" t="str">
        <x:v>Filler 018</x:v>
      </x:c>
      <x:c r="G349" s="76" t="n">
        <x:v>10</x:v>
      </x:c>
      <x:c r="H349" s="76" t="n">
        <x:v>24.18</x:v>
      </x:c>
      <x:c r="I349" s="76" t="n">
        <x:f>G349*H349</x:f>
        <x:v>241.8</x:v>
      </x:c>
      <x:c r="J349" s="76" t="n">
        <x:f>IFERROR(INDEX('Inventory'!$E$2:$E$71,MATCH(E349,'Inventory'!$A$2:$A$71,0)),0)</x:f>
        <x:v>17607</x:v>
      </x:c>
      <x:c r="K349" s="76" t="n">
        <x:f>IFERROR(INDEX('Inventory'!$F$2:$F$71,MATCH(E349,'Inventory'!$A$2:$A$71,0)),0)</x:f>
        <x:v>302</x:v>
      </x:c>
      <x:c r="L349" s="76" t="n">
        <x:f>SUMIFS('Open_POs'!$D$2:$D$26,'Open_POs'!$B$2:$B$26,E349,'Open_POs'!$E$2:$E$26,"&lt;="&amp;B349)</x:f>
        <x:v>10000</x:v>
      </x:c>
      <x:c r="M349" s="76" t="n">
        <x:f>J349+L349</x:f>
        <x:v>27607</x:v>
      </x:c>
      <x:c r="N349" s="76" t="n">
        <x:f>SUMIFS($I$2:I349,$E$2:E349,E349)</x:f>
        <x:v>10947.2</x:v>
      </x:c>
      <x:c r="O349" s="76" t="n">
        <x:f>M349-N349</x:f>
        <x:v>16659.8</x:v>
      </x:c>
      <x:c r="P349" s="71" t="str">
        <x:f>IF(O349&lt;0,"SHORT",IF(O349&lt;K349,"BELOW TARGET","COVERED"))</x:f>
        <x:v>COVERED</x:v>
      </x:c>
      <x:c r="Q349" s="63" t="str">
        <x:f>IF(AND(P349="SHORT",COUNTIFS($E$2:E349,E349,$P$2:P349,"SHORT")=1),B349,"")</x:f>
      </x:c>
    </x:row>
    <x:row r="350" ht="15" customHeight="1">
      <x:c r="A350" s="71" t="str">
        <x:v>SO-26086</x:v>
      </x:c>
      <x:c r="B350" s="75" t="n">
        <x:v>46280</x:v>
      </x:c>
      <x:c r="C350" s="71" t="str">
        <x:v>Normal</x:v>
      </x:c>
      <x:c r="D350" s="71" t="str">
        <x:v>FG-014</x:v>
      </x:c>
      <x:c r="E350" s="71" t="str">
        <x:v>RM-031</x:v>
      </x:c>
      <x:c r="F350" s="71" t="str">
        <x:v>Resin 031</x:v>
      </x:c>
      <x:c r="G350" s="76" t="n">
        <x:v>10</x:v>
      </x:c>
      <x:c r="H350" s="76" t="n">
        <x:v>71.8</x:v>
      </x:c>
      <x:c r="I350" s="76" t="n">
        <x:f>G350*H350</x:f>
        <x:v>718</x:v>
      </x:c>
      <x:c r="J350" s="76" t="n">
        <x:f>IFERROR(INDEX('Inventory'!$E$2:$E$71,MATCH(E350,'Inventory'!$A$2:$A$71,0)),0)</x:f>
        <x:v>6087</x:v>
      </x:c>
      <x:c r="K350" s="76" t="n">
        <x:f>IFERROR(INDEX('Inventory'!$F$2:$F$71,MATCH(E350,'Inventory'!$A$2:$A$71,0)),0)</x:f>
        <x:v>714</x:v>
      </x:c>
      <x:c r="L350" s="76" t="n">
        <x:f>SUMIFS('Open_POs'!$D$2:$D$26,'Open_POs'!$B$2:$B$26,E350,'Open_POs'!$E$2:$E$26,"&lt;="&amp;B350)</x:f>
        <x:v>0</x:v>
      </x:c>
      <x:c r="M350" s="76" t="n">
        <x:f>J350+L350</x:f>
        <x:v>6087</x:v>
      </x:c>
      <x:c r="N350" s="76" t="n">
        <x:f>SUMIFS($I$2:I350,$E$2:E350,E350)</x:f>
        <x:v>14197.3</x:v>
      </x:c>
      <x:c r="O350" s="76" t="n">
        <x:f>M350-N350</x:f>
        <x:v>-8110.299999999999</x:v>
      </x:c>
      <x:c r="P350" s="71" t="str">
        <x:f>IF(O350&lt;0,"SHORT",IF(O350&lt;K350,"BELOW TARGET","COVERED"))</x:f>
        <x:v>SHORT</x:v>
      </x:c>
      <x:c r="Q350" s="63" t="str">
        <x:f>IF(AND(P350="SHORT",COUNTIFS($E$2:E350,E350,$P$2:P350,"SHORT")=1),B350,"")</x:f>
      </x:c>
    </x:row>
    <x:row r="351" ht="15" customHeight="1">
      <x:c r="A351" s="71" t="str">
        <x:v>SO-26086</x:v>
      </x:c>
      <x:c r="B351" s="75" t="n">
        <x:v>46280</x:v>
      </x:c>
      <x:c r="C351" s="71" t="str">
        <x:v>Normal</x:v>
      </x:c>
      <x:c r="D351" s="71" t="str">
        <x:v>FG-014</x:v>
      </x:c>
      <x:c r="E351" s="71" t="str">
        <x:v>RM-053</x:v>
      </x:c>
      <x:c r="F351" s="71" t="str">
        <x:v>Filler 053</x:v>
      </x:c>
      <x:c r="G351" s="76" t="n">
        <x:v>10</x:v>
      </x:c>
      <x:c r="H351" s="76" t="n">
        <x:v>98.29</x:v>
      </x:c>
      <x:c r="I351" s="76" t="n">
        <x:f>G351*H351</x:f>
        <x:v>982.9000000000001</x:v>
      </x:c>
      <x:c r="J351" s="76" t="n">
        <x:f>IFERROR(INDEX('Inventory'!$E$2:$E$71,MATCH(E351,'Inventory'!$A$2:$A$71,0)),0)</x:f>
        <x:v>3714</x:v>
      </x:c>
      <x:c r="K351" s="76" t="n">
        <x:f>IFERROR(INDEX('Inventory'!$F$2:$F$71,MATCH(E351,'Inventory'!$A$2:$A$71,0)),0)</x:f>
        <x:v>773</x:v>
      </x:c>
      <x:c r="L351" s="76" t="n">
        <x:f>SUMIFS('Open_POs'!$D$2:$D$26,'Open_POs'!$B$2:$B$26,E351,'Open_POs'!$E$2:$E$26,"&lt;="&amp;B351)</x:f>
        <x:v>0</x:v>
      </x:c>
      <x:c r="M351" s="76" t="n">
        <x:f>J351+L351</x:f>
        <x:v>3714</x:v>
      </x:c>
      <x:c r="N351" s="76" t="n">
        <x:f>SUMIFS($I$2:I351,$E$2:E351,E351)</x:f>
        <x:v>28140.700000000004</x:v>
      </x:c>
      <x:c r="O351" s="76" t="n">
        <x:f>M351-N351</x:f>
        <x:v>-24426.700000000004</x:v>
      </x:c>
      <x:c r="P351" s="71" t="str">
        <x:f>IF(O351&lt;0,"SHORT",IF(O351&lt;K351,"BELOW TARGET","COVERED"))</x:f>
        <x:v>SHORT</x:v>
      </x:c>
      <x:c r="Q351" s="63" t="str">
        <x:f>IF(AND(P351="SHORT",COUNTIFS($E$2:E351,E351,$P$2:P351,"SHORT")=1),B351,"")</x:f>
      </x:c>
    </x:row>
    <x:row r="352" ht="15" customHeight="1">
      <x:c r="A352" s="71" t="str">
        <x:v>SO-26086</x:v>
      </x:c>
      <x:c r="B352" s="75" t="n">
        <x:v>46280</x:v>
      </x:c>
      <x:c r="C352" s="71" t="str">
        <x:v>Normal</x:v>
      </x:c>
      <x:c r="D352" s="71" t="str">
        <x:v>FG-014</x:v>
      </x:c>
      <x:c r="E352" s="71" t="str">
        <x:v>RM-058</x:v>
      </x:c>
      <x:c r="F352" s="71" t="str">
        <x:v>Filler 058</x:v>
      </x:c>
      <x:c r="G352" s="76" t="n">
        <x:v>10</x:v>
      </x:c>
      <x:c r="H352" s="76" t="n">
        <x:v>60.28</x:v>
      </x:c>
      <x:c r="I352" s="76" t="n">
        <x:f>G352*H352</x:f>
        <x:v>602.8</x:v>
      </x:c>
      <x:c r="J352" s="76" t="n">
        <x:f>IFERROR(INDEX('Inventory'!$E$2:$E$71,MATCH(E352,'Inventory'!$A$2:$A$71,0)),0)</x:f>
        <x:v>9929</x:v>
      </x:c>
      <x:c r="K352" s="76" t="n">
        <x:f>IFERROR(INDEX('Inventory'!$F$2:$F$71,MATCH(E352,'Inventory'!$A$2:$A$71,0)),0)</x:f>
        <x:v>701</x:v>
      </x:c>
      <x:c r="L352" s="76" t="n">
        <x:f>SUMIFS('Open_POs'!$D$2:$D$26,'Open_POs'!$B$2:$B$26,E352,'Open_POs'!$E$2:$E$26,"&lt;="&amp;B352)</x:f>
        <x:v>0</x:v>
      </x:c>
      <x:c r="M352" s="76" t="n">
        <x:f>J352+L352</x:f>
        <x:v>9929</x:v>
      </x:c>
      <x:c r="N352" s="76" t="n">
        <x:f>SUMIFS($I$2:I352,$E$2:E352,E352)</x:f>
        <x:v>49961.100000000006</x:v>
      </x:c>
      <x:c r="O352" s="76" t="n">
        <x:f>M352-N352</x:f>
        <x:v>-40032.100000000006</x:v>
      </x:c>
      <x:c r="P352" s="71" t="str">
        <x:f>IF(O352&lt;0,"SHORT",IF(O352&lt;K352,"BELOW TARGET","COVERED"))</x:f>
        <x:v>SHORT</x:v>
      </x:c>
      <x:c r="Q352" s="63" t="str">
        <x:f>IF(AND(P352="SHORT",COUNTIFS($E$2:E352,E352,$P$2:P352,"SHORT")=1),B352,"")</x:f>
      </x:c>
    </x:row>
    <x:row r="353" ht="15" customHeight="1">
      <x:c r="A353" s="71" t="str">
        <x:v>SO-26086</x:v>
      </x:c>
      <x:c r="B353" s="75" t="n">
        <x:v>46280</x:v>
      </x:c>
      <x:c r="C353" s="71" t="str">
        <x:v>Normal</x:v>
      </x:c>
      <x:c r="D353" s="71" t="str">
        <x:v>FG-014</x:v>
      </x:c>
      <x:c r="E353" s="71" t="str">
        <x:v>RM-063</x:v>
      </x:c>
      <x:c r="F353" s="71" t="str">
        <x:v>Filler 063</x:v>
      </x:c>
      <x:c r="G353" s="76" t="n">
        <x:v>10</x:v>
      </x:c>
      <x:c r="H353" s="76" t="n">
        <x:v>113.92</x:v>
      </x:c>
      <x:c r="I353" s="76" t="n">
        <x:f>G353*H353</x:f>
        <x:v>1139.2</x:v>
      </x:c>
      <x:c r="J353" s="76" t="n">
        <x:f>IFERROR(INDEX('Inventory'!$E$2:$E$71,MATCH(E353,'Inventory'!$A$2:$A$71,0)),0)</x:f>
        <x:v>7508</x:v>
      </x:c>
      <x:c r="K353" s="76" t="n">
        <x:f>IFERROR(INDEX('Inventory'!$F$2:$F$71,MATCH(E353,'Inventory'!$A$2:$A$71,0)),0)</x:f>
        <x:v>1090</x:v>
      </x:c>
      <x:c r="L353" s="76" t="n">
        <x:f>SUMIFS('Open_POs'!$D$2:$D$26,'Open_POs'!$B$2:$B$26,E353,'Open_POs'!$E$2:$E$26,"&lt;="&amp;B353)</x:f>
        <x:v>5000</x:v>
      </x:c>
      <x:c r="M353" s="76" t="n">
        <x:f>J353+L353</x:f>
        <x:v>12508</x:v>
      </x:c>
      <x:c r="N353" s="76" t="n">
        <x:f>SUMIFS($I$2:I353,$E$2:E353,E353)</x:f>
        <x:v>53788.4</x:v>
      </x:c>
      <x:c r="O353" s="76" t="n">
        <x:f>M353-N353</x:f>
        <x:v>-41280.4</x:v>
      </x:c>
      <x:c r="P353" s="71" t="str">
        <x:f>IF(O353&lt;0,"SHORT",IF(O353&lt;K353,"BELOW TARGET","COVERED"))</x:f>
        <x:v>SHORT</x:v>
      </x:c>
      <x:c r="Q353" s="63" t="str">
        <x:f>IF(AND(P353="SHORT",COUNTIFS($E$2:E353,E353,$P$2:P353,"SHORT")=1),B353,"")</x:f>
      </x:c>
    </x:row>
    <x:row r="354" ht="15" customHeight="1">
      <x:c r="A354" s="71" t="str">
        <x:v>SO-26086</x:v>
      </x:c>
      <x:c r="B354" s="75" t="n">
        <x:v>46280</x:v>
      </x:c>
      <x:c r="C354" s="71" t="str">
        <x:v>Normal</x:v>
      </x:c>
      <x:c r="D354" s="71" t="str">
        <x:v>FG-014</x:v>
      </x:c>
      <x:c r="E354" s="71" t="str">
        <x:v>RM-069</x:v>
      </x:c>
      <x:c r="F354" s="71" t="str">
        <x:v>Additive 069</x:v>
      </x:c>
      <x:c r="G354" s="76" t="n">
        <x:v>10</x:v>
      </x:c>
      <x:c r="H354" s="76" t="n">
        <x:v>37.77</x:v>
      </x:c>
      <x:c r="I354" s="76" t="n">
        <x:f>G354*H354</x:f>
        <x:v>377.70000000000005</x:v>
      </x:c>
      <x:c r="J354" s="76" t="n">
        <x:f>IFERROR(INDEX('Inventory'!$E$2:$E$71,MATCH(E354,'Inventory'!$A$2:$A$71,0)),0)</x:f>
        <x:v>2870</x:v>
      </x:c>
      <x:c r="K354" s="76" t="n">
        <x:f>IFERROR(INDEX('Inventory'!$F$2:$F$71,MATCH(E354,'Inventory'!$A$2:$A$71,0)),0)</x:f>
        <x:v>986</x:v>
      </x:c>
      <x:c r="L354" s="76" t="n">
        <x:f>SUMIFS('Open_POs'!$D$2:$D$26,'Open_POs'!$B$2:$B$26,E354,'Open_POs'!$E$2:$E$26,"&lt;="&amp;B354)</x:f>
        <x:v>0</x:v>
      </x:c>
      <x:c r="M354" s="76" t="n">
        <x:f>J354+L354</x:f>
        <x:v>2870</x:v>
      </x:c>
      <x:c r="N354" s="76" t="n">
        <x:f>SUMIFS($I$2:I354,$E$2:E354,E354)</x:f>
        <x:v>4154.700000000001</x:v>
      </x:c>
      <x:c r="O354" s="76" t="n">
        <x:f>M354-N354</x:f>
        <x:v>-1284.7000000000007</x:v>
      </x:c>
      <x:c r="P354" s="71" t="str">
        <x:f>IF(O354&lt;0,"SHORT",IF(O354&lt;K354,"BELOW TARGET","COVERED"))</x:f>
        <x:v>SHORT</x:v>
      </x:c>
      <x:c r="Q354" s="63" t="str">
        <x:f>IF(AND(P354="SHORT",COUNTIFS($E$2:E354,E354,$P$2:P354,"SHORT")=1),B354,"")</x:f>
      </x:c>
    </x:row>
    <x:row r="355" ht="15" customHeight="1">
      <x:c r="A355" s="71" t="str">
        <x:v>SO-26086</x:v>
      </x:c>
      <x:c r="B355" s="75" t="n">
        <x:v>46280</x:v>
      </x:c>
      <x:c r="C355" s="71" t="str">
        <x:v>Normal</x:v>
      </x:c>
      <x:c r="D355" s="71" t="str">
        <x:v>FG-014</x:v>
      </x:c>
      <x:c r="E355" s="71" t="str">
        <x:v>RM-070</x:v>
      </x:c>
      <x:c r="F355" s="71" t="str">
        <x:v>Packaging 070</x:v>
      </x:c>
      <x:c r="G355" s="76" t="n">
        <x:v>10</x:v>
      </x:c>
      <x:c r="H355" s="76" t="n">
        <x:v>96.1</x:v>
      </x:c>
      <x:c r="I355" s="76" t="n">
        <x:f>G355*H355</x:f>
        <x:v>961</x:v>
      </x:c>
      <x:c r="J355" s="76" t="n">
        <x:f>IFERROR(INDEX('Inventory'!$E$2:$E$71,MATCH(E355,'Inventory'!$A$2:$A$71,0)),0)</x:f>
        <x:v>5189</x:v>
      </x:c>
      <x:c r="K355" s="76" t="n">
        <x:f>IFERROR(INDEX('Inventory'!$F$2:$F$71,MATCH(E355,'Inventory'!$A$2:$A$71,0)),0)</x:f>
        <x:v>587</x:v>
      </x:c>
      <x:c r="L355" s="76" t="n">
        <x:f>SUMIFS('Open_POs'!$D$2:$D$26,'Open_POs'!$B$2:$B$26,E355,'Open_POs'!$E$2:$E$26,"&lt;="&amp;B355)</x:f>
        <x:v>0</x:v>
      </x:c>
      <x:c r="M355" s="76" t="n">
        <x:f>J355+L355</x:f>
        <x:v>5189</x:v>
      </x:c>
      <x:c r="N355" s="76" t="n">
        <x:f>SUMIFS($I$2:I355,$E$2:E355,E355)</x:f>
        <x:v>10571</x:v>
      </x:c>
      <x:c r="O355" s="76" t="n">
        <x:f>M355-N355</x:f>
        <x:v>-5382</x:v>
      </x:c>
      <x:c r="P355" s="71" t="str">
        <x:f>IF(O355&lt;0,"SHORT",IF(O355&lt;K355,"BELOW TARGET","COVERED"))</x:f>
        <x:v>SHORT</x:v>
      </x:c>
      <x:c r="Q355" s="63" t="str">
        <x:f>IF(AND(P355="SHORT",COUNTIFS($E$2:E355,E355,$P$2:P355,"SHORT")=1),B355,"")</x:f>
      </x:c>
    </x:row>
    <x:row r="356" ht="15" customHeight="1">
      <x:c r="A356" s="71" t="str">
        <x:v>SO-26013</x:v>
      </x:c>
      <x:c r="B356" s="75" t="n">
        <x:v>46281</x:v>
      </x:c>
      <x:c r="C356" s="71" t="str">
        <x:v>Normal</x:v>
      </x:c>
      <x:c r="D356" s="71" t="str">
        <x:v>FG-001</x:v>
      </x:c>
      <x:c r="E356" s="71" t="str">
        <x:v>RM-008</x:v>
      </x:c>
      <x:c r="F356" s="71" t="str">
        <x:v>Filler 008</x:v>
      </x:c>
      <x:c r="G356" s="76" t="n">
        <x:v>80</x:v>
      </x:c>
      <x:c r="H356" s="76" t="n">
        <x:v>50.81</x:v>
      </x:c>
      <x:c r="I356" s="76" t="n">
        <x:f>G356*H356</x:f>
        <x:v>4064.8</x:v>
      </x:c>
      <x:c r="J356" s="76" t="n">
        <x:f>IFERROR(INDEX('Inventory'!$E$2:$E$71,MATCH(E356,'Inventory'!$A$2:$A$71,0)),0)</x:f>
        <x:v>430</x:v>
      </x:c>
      <x:c r="K356" s="76" t="n">
        <x:f>IFERROR(INDEX('Inventory'!$F$2:$F$71,MATCH(E356,'Inventory'!$A$2:$A$71,0)),0)</x:f>
        <x:v>1037</x:v>
      </x:c>
      <x:c r="L356" s="76" t="n">
        <x:f>SUMIFS('Open_POs'!$D$2:$D$26,'Open_POs'!$B$2:$B$26,E356,'Open_POs'!$E$2:$E$26,"&lt;="&amp;B356)</x:f>
        <x:v>0</x:v>
      </x:c>
      <x:c r="M356" s="76" t="n">
        <x:f>J356+L356</x:f>
        <x:v>430</x:v>
      </x:c>
      <x:c r="N356" s="76" t="n">
        <x:f>SUMIFS($I$2:I356,$E$2:E356,E356)</x:f>
        <x:v>22620.3</x:v>
      </x:c>
      <x:c r="O356" s="76" t="n">
        <x:f>M356-N356</x:f>
        <x:v>-22190.3</x:v>
      </x:c>
      <x:c r="P356" s="71" t="str">
        <x:f>IF(O356&lt;0,"SHORT",IF(O356&lt;K356,"BELOW TARGET","COVERED"))</x:f>
        <x:v>SHORT</x:v>
      </x:c>
      <x:c r="Q356" s="63" t="str">
        <x:f>IF(AND(P356="SHORT",COUNTIFS($E$2:E356,E356,$P$2:P356,"SHORT")=1),B356,"")</x:f>
      </x:c>
    </x:row>
    <x:row r="357" ht="15" customHeight="1">
      <x:c r="A357" s="71" t="str">
        <x:v>SO-26013</x:v>
      </x:c>
      <x:c r="B357" s="75" t="n">
        <x:v>46281</x:v>
      </x:c>
      <x:c r="C357" s="71" t="str">
        <x:v>Normal</x:v>
      </x:c>
      <x:c r="D357" s="71" t="str">
        <x:v>FG-001</x:v>
      </x:c>
      <x:c r="E357" s="71" t="str">
        <x:v>RM-025</x:v>
      </x:c>
      <x:c r="F357" s="71" t="str">
        <x:v>Packaging 025</x:v>
      </x:c>
      <x:c r="G357" s="76" t="n">
        <x:v>80</x:v>
      </x:c>
      <x:c r="H357" s="76" t="n">
        <x:v>15.13</x:v>
      </x:c>
      <x:c r="I357" s="76" t="n">
        <x:f>G357*H357</x:f>
        <x:v>1210.4</x:v>
      </x:c>
      <x:c r="J357" s="76" t="n">
        <x:f>IFERROR(INDEX('Inventory'!$E$2:$E$71,MATCH(E357,'Inventory'!$A$2:$A$71,0)),0)</x:f>
        <x:v>2469</x:v>
      </x:c>
      <x:c r="K357" s="76" t="n">
        <x:f>IFERROR(INDEX('Inventory'!$F$2:$F$71,MATCH(E357,'Inventory'!$A$2:$A$71,0)),0)</x:f>
        <x:v>229</x:v>
      </x:c>
      <x:c r="L357" s="76" t="n">
        <x:f>SUMIFS('Open_POs'!$D$2:$D$26,'Open_POs'!$B$2:$B$26,E357,'Open_POs'!$E$2:$E$26,"&lt;="&amp;B357)</x:f>
        <x:v>10000</x:v>
      </x:c>
      <x:c r="M357" s="76" t="n">
        <x:f>J357+L357</x:f>
        <x:v>12469</x:v>
      </x:c>
      <x:c r="N357" s="76" t="n">
        <x:f>SUMIFS($I$2:I357,$E$2:E357,E357)</x:f>
        <x:v>29944.399999999994</x:v>
      </x:c>
      <x:c r="O357" s="76" t="n">
        <x:f>M357-N357</x:f>
        <x:v>-17475.399999999994</x:v>
      </x:c>
      <x:c r="P357" s="71" t="str">
        <x:f>IF(O357&lt;0,"SHORT",IF(O357&lt;K357,"BELOW TARGET","COVERED"))</x:f>
        <x:v>SHORT</x:v>
      </x:c>
      <x:c r="Q357" s="63" t="str">
        <x:f>IF(AND(P357="SHORT",COUNTIFS($E$2:E357,E357,$P$2:P357,"SHORT")=1),B357,"")</x:f>
      </x:c>
    </x:row>
    <x:row r="358" ht="15" customHeight="1">
      <x:c r="A358" s="71" t="str">
        <x:v>SO-26013</x:v>
      </x:c>
      <x:c r="B358" s="75" t="n">
        <x:v>46281</x:v>
      </x:c>
      <x:c r="C358" s="71" t="str">
        <x:v>Normal</x:v>
      </x:c>
      <x:c r="D358" s="71" t="str">
        <x:v>FG-001</x:v>
      </x:c>
      <x:c r="E358" s="71" t="str">
        <x:v>RM-036</x:v>
      </x:c>
      <x:c r="F358" s="71" t="str">
        <x:v>Resin 036</x:v>
      </x:c>
      <x:c r="G358" s="76" t="n">
        <x:v>80</x:v>
      </x:c>
      <x:c r="H358" s="76" t="n">
        <x:v>37.95</x:v>
      </x:c>
      <x:c r="I358" s="76" t="n">
        <x:f>G358*H358</x:f>
        <x:v>3036</x:v>
      </x:c>
      <x:c r="J358" s="76" t="n">
        <x:f>IFERROR(INDEX('Inventory'!$E$2:$E$71,MATCH(E358,'Inventory'!$A$2:$A$71,0)),0)</x:f>
        <x:v>12427</x:v>
      </x:c>
      <x:c r="K358" s="76" t="n">
        <x:f>IFERROR(INDEX('Inventory'!$F$2:$F$71,MATCH(E358,'Inventory'!$A$2:$A$71,0)),0)</x:f>
        <x:v>1016</x:v>
      </x:c>
      <x:c r="L358" s="76" t="n">
        <x:f>SUMIFS('Open_POs'!$D$2:$D$26,'Open_POs'!$B$2:$B$26,E358,'Open_POs'!$E$2:$E$26,"&lt;="&amp;B358)</x:f>
        <x:v>1000</x:v>
      </x:c>
      <x:c r="M358" s="76" t="n">
        <x:f>J358+L358</x:f>
        <x:v>13427</x:v>
      </x:c>
      <x:c r="N358" s="76" t="n">
        <x:f>SUMIFS($I$2:I358,$E$2:E358,E358)</x:f>
        <x:v>28240.600000000002</x:v>
      </x:c>
      <x:c r="O358" s="76" t="n">
        <x:f>M358-N358</x:f>
        <x:v>-14813.600000000002</x:v>
      </x:c>
      <x:c r="P358" s="71" t="str">
        <x:f>IF(O358&lt;0,"SHORT",IF(O358&lt;K358,"BELOW TARGET","COVERED"))</x:f>
        <x:v>SHORT</x:v>
      </x:c>
      <x:c r="Q358" s="63" t="str">
        <x:f>IF(AND(P358="SHORT",COUNTIFS($E$2:E358,E358,$P$2:P358,"SHORT")=1),B358,"")</x:f>
      </x:c>
    </x:row>
    <x:row r="359" ht="15" customHeight="1">
      <x:c r="A359" s="71" t="str">
        <x:v>SO-26013</x:v>
      </x:c>
      <x:c r="B359" s="75" t="n">
        <x:v>46281</x:v>
      </x:c>
      <x:c r="C359" s="71" t="str">
        <x:v>Normal</x:v>
      </x:c>
      <x:c r="D359" s="71" t="str">
        <x:v>FG-001</x:v>
      </x:c>
      <x:c r="E359" s="71" t="str">
        <x:v>RM-048</x:v>
      </x:c>
      <x:c r="F359" s="71" t="str">
        <x:v>Filler 048</x:v>
      </x:c>
      <x:c r="G359" s="76" t="n">
        <x:v>80</x:v>
      </x:c>
      <x:c r="H359" s="76" t="n">
        <x:v>11.19</x:v>
      </x:c>
      <x:c r="I359" s="76" t="n">
        <x:f>G359*H359</x:f>
        <x:v>895.1999999999999</x:v>
      </x:c>
      <x:c r="J359" s="76" t="n">
        <x:f>IFERROR(INDEX('Inventory'!$E$2:$E$71,MATCH(E359,'Inventory'!$A$2:$A$71,0)),0)</x:f>
        <x:v>637</x:v>
      </x:c>
      <x:c r="K359" s="76" t="n">
        <x:f>IFERROR(INDEX('Inventory'!$F$2:$F$71,MATCH(E359,'Inventory'!$A$2:$A$71,0)),0)</x:f>
        <x:v>888</x:v>
      </x:c>
      <x:c r="L359" s="76" t="n">
        <x:f>SUMIFS('Open_POs'!$D$2:$D$26,'Open_POs'!$B$2:$B$26,E359,'Open_POs'!$E$2:$E$26,"&lt;="&amp;B359)</x:f>
        <x:v>1000</x:v>
      </x:c>
      <x:c r="M359" s="76" t="n">
        <x:f>J359+L359</x:f>
        <x:v>1637</x:v>
      </x:c>
      <x:c r="N359" s="76" t="n">
        <x:f>SUMIFS($I$2:I359,$E$2:E359,E359)</x:f>
        <x:v>15661.599999999999</x:v>
      </x:c>
      <x:c r="O359" s="76" t="n">
        <x:f>M359-N359</x:f>
        <x:v>-14024.599999999999</x:v>
      </x:c>
      <x:c r="P359" s="71" t="str">
        <x:f>IF(O359&lt;0,"SHORT",IF(O359&lt;K359,"BELOW TARGET","COVERED"))</x:f>
        <x:v>SHORT</x:v>
      </x:c>
      <x:c r="Q359" s="63" t="str">
        <x:f>IF(AND(P359="SHORT",COUNTIFS($E$2:E359,E359,$P$2:P359,"SHORT")=1),B359,"")</x:f>
      </x:c>
    </x:row>
    <x:row r="360" ht="15" customHeight="1">
      <x:c r="A360" s="71" t="str">
        <x:v>SO-26013</x:v>
      </x:c>
      <x:c r="B360" s="75" t="n">
        <x:v>46281</x:v>
      </x:c>
      <x:c r="C360" s="71" t="str">
        <x:v>Normal</x:v>
      </x:c>
      <x:c r="D360" s="71" t="str">
        <x:v>FG-001</x:v>
      </x:c>
      <x:c r="E360" s="71" t="str">
        <x:v>RM-066</x:v>
      </x:c>
      <x:c r="F360" s="71" t="str">
        <x:v>Resin 066</x:v>
      </x:c>
      <x:c r="G360" s="76" t="n">
        <x:v>80</x:v>
      </x:c>
      <x:c r="H360" s="76" t="n">
        <x:v>38.59</x:v>
      </x:c>
      <x:c r="I360" s="76" t="n">
        <x:f>G360*H360</x:f>
        <x:v>3087.2000000000003</x:v>
      </x:c>
      <x:c r="J360" s="76" t="n">
        <x:f>IFERROR(INDEX('Inventory'!$E$2:$E$71,MATCH(E360,'Inventory'!$A$2:$A$71,0)),0)</x:f>
        <x:v>10876</x:v>
      </x:c>
      <x:c r="K360" s="76" t="n">
        <x:f>IFERROR(INDEX('Inventory'!$F$2:$F$71,MATCH(E360,'Inventory'!$A$2:$A$71,0)),0)</x:f>
        <x:v>567</x:v>
      </x:c>
      <x:c r="L360" s="76" t="n">
        <x:f>SUMIFS('Open_POs'!$D$2:$D$26,'Open_POs'!$B$2:$B$26,E360,'Open_POs'!$E$2:$E$26,"&lt;="&amp;B360)</x:f>
        <x:v>0</x:v>
      </x:c>
      <x:c r="M360" s="76" t="n">
        <x:f>J360+L360</x:f>
        <x:v>10876</x:v>
      </x:c>
      <x:c r="N360" s="76" t="n">
        <x:f>SUMIFS($I$2:I360,$E$2:E360,E360)</x:f>
        <x:v>9987.4</x:v>
      </x:c>
      <x:c r="O360" s="76" t="n">
        <x:f>M360-N360</x:f>
        <x:v>888.6000000000004</x:v>
      </x:c>
      <x:c r="P360" s="71" t="str">
        <x:f>IF(O360&lt;0,"SHORT",IF(O360&lt;K360,"BELOW TARGET","COVERED"))</x:f>
        <x:v>COVERED</x:v>
      </x:c>
      <x:c r="Q360" s="63" t="str">
        <x:f>IF(AND(P360="SHORT",COUNTIFS($E$2:E360,E360,$P$2:P360,"SHORT")=1),B360,"")</x:f>
      </x:c>
    </x:row>
    <x:row r="361" ht="15" customHeight="1">
      <x:c r="A361" s="71" t="str">
        <x:v>SO-26069</x:v>
      </x:c>
      <x:c r="B361" s="75" t="n">
        <x:v>46281</x:v>
      </x:c>
      <x:c r="C361" s="71" t="str">
        <x:v>Normal</x:v>
      </x:c>
      <x:c r="D361" s="71" t="str">
        <x:v>FG-011</x:v>
      </x:c>
      <x:c r="E361" s="71" t="str">
        <x:v>RM-005</x:v>
      </x:c>
      <x:c r="F361" s="71" t="str">
        <x:v>Packaging 005</x:v>
      </x:c>
      <x:c r="G361" s="76" t="n">
        <x:v>80</x:v>
      </x:c>
      <x:c r="H361" s="76" t="n">
        <x:v>66.99</x:v>
      </x:c>
      <x:c r="I361" s="76" t="n">
        <x:f>G361*H361</x:f>
        <x:v>5359.2</x:v>
      </x:c>
      <x:c r="J361" s="76" t="n">
        <x:f>IFERROR(INDEX('Inventory'!$E$2:$E$71,MATCH(E361,'Inventory'!$A$2:$A$71,0)),0)</x:f>
        <x:v>8699</x:v>
      </x:c>
      <x:c r="K361" s="76" t="n">
        <x:f>IFERROR(INDEX('Inventory'!$F$2:$F$71,MATCH(E361,'Inventory'!$A$2:$A$71,0)),0)</x:f>
        <x:v>1174</x:v>
      </x:c>
      <x:c r="L361" s="76" t="n">
        <x:f>SUMIFS('Open_POs'!$D$2:$D$26,'Open_POs'!$B$2:$B$26,E361,'Open_POs'!$E$2:$E$26,"&lt;="&amp;B361)</x:f>
        <x:v>0</x:v>
      </x:c>
      <x:c r="M361" s="76" t="n">
        <x:f>J361+L361</x:f>
        <x:v>8699</x:v>
      </x:c>
      <x:c r="N361" s="76" t="n">
        <x:f>SUMIFS($I$2:I361,$E$2:E361,E361)</x:f>
        <x:v>33125.899999999994</x:v>
      </x:c>
      <x:c r="O361" s="76" t="n">
        <x:f>M361-N361</x:f>
        <x:v>-24426.899999999994</x:v>
      </x:c>
      <x:c r="P361" s="71" t="str">
        <x:f>IF(O361&lt;0,"SHORT",IF(O361&lt;K361,"BELOW TARGET","COVERED"))</x:f>
        <x:v>SHORT</x:v>
      </x:c>
      <x:c r="Q361" s="63" t="str">
        <x:f>IF(AND(P361="SHORT",COUNTIFS($E$2:E361,E361,$P$2:P361,"SHORT")=1),B361,"")</x:f>
      </x:c>
    </x:row>
    <x:row r="362" ht="15" customHeight="1">
      <x:c r="A362" s="71" t="str">
        <x:v>SO-26069</x:v>
      </x:c>
      <x:c r="B362" s="75" t="n">
        <x:v>46281</x:v>
      </x:c>
      <x:c r="C362" s="71" t="str">
        <x:v>Normal</x:v>
      </x:c>
      <x:c r="D362" s="71" t="str">
        <x:v>FG-011</x:v>
      </x:c>
      <x:c r="E362" s="71" t="str">
        <x:v>RM-008</x:v>
      </x:c>
      <x:c r="F362" s="71" t="str">
        <x:v>Filler 008</x:v>
      </x:c>
      <x:c r="G362" s="76" t="n">
        <x:v>80</x:v>
      </x:c>
      <x:c r="H362" s="76" t="n">
        <x:v>39.55</x:v>
      </x:c>
      <x:c r="I362" s="76" t="n">
        <x:f>G362*H362</x:f>
        <x:v>3164</x:v>
      </x:c>
      <x:c r="J362" s="76" t="n">
        <x:f>IFERROR(INDEX('Inventory'!$E$2:$E$71,MATCH(E362,'Inventory'!$A$2:$A$71,0)),0)</x:f>
        <x:v>430</x:v>
      </x:c>
      <x:c r="K362" s="76" t="n">
        <x:f>IFERROR(INDEX('Inventory'!$F$2:$F$71,MATCH(E362,'Inventory'!$A$2:$A$71,0)),0)</x:f>
        <x:v>1037</x:v>
      </x:c>
      <x:c r="L362" s="76" t="n">
        <x:f>SUMIFS('Open_POs'!$D$2:$D$26,'Open_POs'!$B$2:$B$26,E362,'Open_POs'!$E$2:$E$26,"&lt;="&amp;B362)</x:f>
        <x:v>0</x:v>
      </x:c>
      <x:c r="M362" s="76" t="n">
        <x:f>J362+L362</x:f>
        <x:v>430</x:v>
      </x:c>
      <x:c r="N362" s="76" t="n">
        <x:f>SUMIFS($I$2:I362,$E$2:E362,E362)</x:f>
        <x:v>25784.3</x:v>
      </x:c>
      <x:c r="O362" s="76" t="n">
        <x:f>M362-N362</x:f>
        <x:v>-25354.3</x:v>
      </x:c>
      <x:c r="P362" s="71" t="str">
        <x:f>IF(O362&lt;0,"SHORT",IF(O362&lt;K362,"BELOW TARGET","COVERED"))</x:f>
        <x:v>SHORT</x:v>
      </x:c>
      <x:c r="Q362" s="63" t="str">
        <x:f>IF(AND(P362="SHORT",COUNTIFS($E$2:E362,E362,$P$2:P362,"SHORT")=1),B362,"")</x:f>
      </x:c>
    </x:row>
    <x:row r="363" ht="15" customHeight="1">
      <x:c r="A363" s="71" t="str">
        <x:v>SO-26069</x:v>
      </x:c>
      <x:c r="B363" s="75" t="n">
        <x:v>46281</x:v>
      </x:c>
      <x:c r="C363" s="71" t="str">
        <x:v>Normal</x:v>
      </x:c>
      <x:c r="D363" s="71" t="str">
        <x:v>FG-011</x:v>
      </x:c>
      <x:c r="E363" s="71" t="str">
        <x:v>RM-010</x:v>
      </x:c>
      <x:c r="F363" s="71" t="str">
        <x:v>Packaging 010</x:v>
      </x:c>
      <x:c r="G363" s="76" t="n">
        <x:v>80</x:v>
      </x:c>
      <x:c r="H363" s="76" t="n">
        <x:v>104.73</x:v>
      </x:c>
      <x:c r="I363" s="76" t="n">
        <x:f>G363*H363</x:f>
        <x:v>8378.4</x:v>
      </x:c>
      <x:c r="J363" s="76" t="n">
        <x:f>IFERROR(INDEX('Inventory'!$E$2:$E$71,MATCH(E363,'Inventory'!$A$2:$A$71,0)),0)</x:f>
        <x:v>14191</x:v>
      </x:c>
      <x:c r="K363" s="76" t="n">
        <x:f>IFERROR(INDEX('Inventory'!$F$2:$F$71,MATCH(E363,'Inventory'!$A$2:$A$71,0)),0)</x:f>
        <x:v>615</x:v>
      </x:c>
      <x:c r="L363" s="76" t="n">
        <x:f>SUMIFS('Open_POs'!$D$2:$D$26,'Open_POs'!$B$2:$B$26,E363,'Open_POs'!$E$2:$E$26,"&lt;="&amp;B363)</x:f>
        <x:v>0</x:v>
      </x:c>
      <x:c r="M363" s="76" t="n">
        <x:f>J363+L363</x:f>
        <x:v>14191</x:v>
      </x:c>
      <x:c r="N363" s="76" t="n">
        <x:f>SUMIFS($I$2:I363,$E$2:E363,E363)</x:f>
        <x:v>47291.700000000004</x:v>
      </x:c>
      <x:c r="O363" s="76" t="n">
        <x:f>M363-N363</x:f>
        <x:v>-33100.700000000004</x:v>
      </x:c>
      <x:c r="P363" s="71" t="str">
        <x:f>IF(O363&lt;0,"SHORT",IF(O363&lt;K363,"BELOW TARGET","COVERED"))</x:f>
        <x:v>SHORT</x:v>
      </x:c>
      <x:c r="Q363" s="63" t="str">
        <x:f>IF(AND(P363="SHORT",COUNTIFS($E$2:E363,E363,$P$2:P363,"SHORT")=1),B363,"")</x:f>
      </x:c>
    </x:row>
    <x:row r="364" ht="15" customHeight="1">
      <x:c r="A364" s="71" t="str">
        <x:v>SO-26069</x:v>
      </x:c>
      <x:c r="B364" s="75" t="n">
        <x:v>46281</x:v>
      </x:c>
      <x:c r="C364" s="71" t="str">
        <x:v>Normal</x:v>
      </x:c>
      <x:c r="D364" s="71" t="str">
        <x:v>FG-011</x:v>
      </x:c>
      <x:c r="E364" s="71" t="str">
        <x:v>RM-019</x:v>
      </x:c>
      <x:c r="F364" s="71" t="str">
        <x:v>Additive 019</x:v>
      </x:c>
      <x:c r="G364" s="76" t="n">
        <x:v>80</x:v>
      </x:c>
      <x:c r="H364" s="76" t="n">
        <x:v>13.26</x:v>
      </x:c>
      <x:c r="I364" s="76" t="n">
        <x:f>G364*H364</x:f>
        <x:v>1060.8</x:v>
      </x:c>
      <x:c r="J364" s="76" t="n">
        <x:f>IFERROR(INDEX('Inventory'!$E$2:$E$71,MATCH(E364,'Inventory'!$A$2:$A$71,0)),0)</x:f>
        <x:v>6552</x:v>
      </x:c>
      <x:c r="K364" s="76" t="n">
        <x:f>IFERROR(INDEX('Inventory'!$F$2:$F$71,MATCH(E364,'Inventory'!$A$2:$A$71,0)),0)</x:f>
        <x:v>1079</x:v>
      </x:c>
      <x:c r="L364" s="76" t="n">
        <x:f>SUMIFS('Open_POs'!$D$2:$D$26,'Open_POs'!$B$2:$B$26,E364,'Open_POs'!$E$2:$E$26,"&lt;="&amp;B364)</x:f>
        <x:v>0</x:v>
      </x:c>
      <x:c r="M364" s="76" t="n">
        <x:f>J364+L364</x:f>
        <x:v>6552</x:v>
      </x:c>
      <x:c r="N364" s="76" t="n">
        <x:f>SUMIFS($I$2:I364,$E$2:E364,E364)</x:f>
        <x:v>10728.6</x:v>
      </x:c>
      <x:c r="O364" s="76" t="n">
        <x:f>M364-N364</x:f>
        <x:v>-4176.6</x:v>
      </x:c>
      <x:c r="P364" s="71" t="str">
        <x:f>IF(O364&lt;0,"SHORT",IF(O364&lt;K364,"BELOW TARGET","COVERED"))</x:f>
        <x:v>SHORT</x:v>
      </x:c>
      <x:c r="Q364" s="63" t="str">
        <x:f>IF(AND(P364="SHORT",COUNTIFS($E$2:E364,E364,$P$2:P364,"SHORT")=1),B364,"")</x:f>
      </x:c>
    </x:row>
    <x:row r="365" ht="15" customHeight="1">
      <x:c r="A365" s="71" t="str">
        <x:v>SO-26069</x:v>
      </x:c>
      <x:c r="B365" s="75" t="n">
        <x:v>46281</x:v>
      </x:c>
      <x:c r="C365" s="71" t="str">
        <x:v>Normal</x:v>
      </x:c>
      <x:c r="D365" s="71" t="str">
        <x:v>FG-011</x:v>
      </x:c>
      <x:c r="E365" s="71" t="str">
        <x:v>RM-031</x:v>
      </x:c>
      <x:c r="F365" s="71" t="str">
        <x:v>Resin 031</x:v>
      </x:c>
      <x:c r="G365" s="76" t="n">
        <x:v>80</x:v>
      </x:c>
      <x:c r="H365" s="76" t="n">
        <x:v>21.51</x:v>
      </x:c>
      <x:c r="I365" s="76" t="n">
        <x:f>G365*H365</x:f>
        <x:v>1720.8000000000002</x:v>
      </x:c>
      <x:c r="J365" s="76" t="n">
        <x:f>IFERROR(INDEX('Inventory'!$E$2:$E$71,MATCH(E365,'Inventory'!$A$2:$A$71,0)),0)</x:f>
        <x:v>6087</x:v>
      </x:c>
      <x:c r="K365" s="76" t="n">
        <x:f>IFERROR(INDEX('Inventory'!$F$2:$F$71,MATCH(E365,'Inventory'!$A$2:$A$71,0)),0)</x:f>
        <x:v>714</x:v>
      </x:c>
      <x:c r="L365" s="76" t="n">
        <x:f>SUMIFS('Open_POs'!$D$2:$D$26,'Open_POs'!$B$2:$B$26,E365,'Open_POs'!$E$2:$E$26,"&lt;="&amp;B365)</x:f>
        <x:v>0</x:v>
      </x:c>
      <x:c r="M365" s="76" t="n">
        <x:f>J365+L365</x:f>
        <x:v>6087</x:v>
      </x:c>
      <x:c r="N365" s="76" t="n">
        <x:f>SUMIFS($I$2:I365,$E$2:E365,E365)</x:f>
        <x:v>15918.099999999999</x:v>
      </x:c>
      <x:c r="O365" s="76" t="n">
        <x:f>M365-N365</x:f>
        <x:v>-9831.099999999999</x:v>
      </x:c>
      <x:c r="P365" s="71" t="str">
        <x:f>IF(O365&lt;0,"SHORT",IF(O365&lt;K365,"BELOW TARGET","COVERED"))</x:f>
        <x:v>SHORT</x:v>
      </x:c>
      <x:c r="Q365" s="63" t="str">
        <x:f>IF(AND(P365="SHORT",COUNTIFS($E$2:E365,E365,$P$2:P365,"SHORT")=1),B365,"")</x:f>
      </x:c>
    </x:row>
    <x:row r="366" ht="15" customHeight="1">
      <x:c r="A366" s="71" t="str">
        <x:v>SO-26069</x:v>
      </x:c>
      <x:c r="B366" s="75" t="n">
        <x:v>46281</x:v>
      </x:c>
      <x:c r="C366" s="71" t="str">
        <x:v>Normal</x:v>
      </x:c>
      <x:c r="D366" s="71" t="str">
        <x:v>FG-011</x:v>
      </x:c>
      <x:c r="E366" s="71" t="str">
        <x:v>RM-032</x:v>
      </x:c>
      <x:c r="F366" s="71" t="str">
        <x:v>Pigment 032</x:v>
      </x:c>
      <x:c r="G366" s="76" t="n">
        <x:v>80</x:v>
      </x:c>
      <x:c r="H366" s="76" t="n">
        <x:v>119.29</x:v>
      </x:c>
      <x:c r="I366" s="76" t="n">
        <x:f>G366*H366</x:f>
        <x:v>9543.2</x:v>
      </x:c>
      <x:c r="J366" s="76" t="n">
        <x:f>IFERROR(INDEX('Inventory'!$E$2:$E$71,MATCH(E366,'Inventory'!$A$2:$A$71,0)),0)</x:f>
        <x:v>674</x:v>
      </x:c>
      <x:c r="K366" s="76" t="n">
        <x:f>IFERROR(INDEX('Inventory'!$F$2:$F$71,MATCH(E366,'Inventory'!$A$2:$A$71,0)),0)</x:f>
        <x:v>1056</x:v>
      </x:c>
      <x:c r="L366" s="76" t="n">
        <x:f>SUMIFS('Open_POs'!$D$2:$D$26,'Open_POs'!$B$2:$B$26,E366,'Open_POs'!$E$2:$E$26,"&lt;="&amp;B366)</x:f>
        <x:v>2500</x:v>
      </x:c>
      <x:c r="M366" s="76" t="n">
        <x:f>J366+L366</x:f>
        <x:v>3174</x:v>
      </x:c>
      <x:c r="N366" s="76" t="n">
        <x:f>SUMIFS($I$2:I366,$E$2:E366,E366)</x:f>
        <x:v>58586.7</x:v>
      </x:c>
      <x:c r="O366" s="76" t="n">
        <x:f>M366-N366</x:f>
        <x:v>-55412.7</x:v>
      </x:c>
      <x:c r="P366" s="71" t="str">
        <x:f>IF(O366&lt;0,"SHORT",IF(O366&lt;K366,"BELOW TARGET","COVERED"))</x:f>
        <x:v>SHORT</x:v>
      </x:c>
      <x:c r="Q366" s="63" t="str">
        <x:f>IF(AND(P366="SHORT",COUNTIFS($E$2:E366,E366,$P$2:P366,"SHORT")=1),B366,"")</x:f>
      </x:c>
    </x:row>
    <x:row r="367" ht="15" customHeight="1">
      <x:c r="A367" s="71" t="str">
        <x:v>SO-26069</x:v>
      </x:c>
      <x:c r="B367" s="75" t="n">
        <x:v>46281</x:v>
      </x:c>
      <x:c r="C367" s="71" t="str">
        <x:v>Normal</x:v>
      </x:c>
      <x:c r="D367" s="71" t="str">
        <x:v>FG-011</x:v>
      </x:c>
      <x:c r="E367" s="71" t="str">
        <x:v>RM-036</x:v>
      </x:c>
      <x:c r="F367" s="71" t="str">
        <x:v>Resin 036</x:v>
      </x:c>
      <x:c r="G367" s="76" t="n">
        <x:v>80</x:v>
      </x:c>
      <x:c r="H367" s="76" t="n">
        <x:v>52.72</x:v>
      </x:c>
      <x:c r="I367" s="76" t="n">
        <x:f>G367*H367</x:f>
        <x:v>4217.6</x:v>
      </x:c>
      <x:c r="J367" s="76" t="n">
        <x:f>IFERROR(INDEX('Inventory'!$E$2:$E$71,MATCH(E367,'Inventory'!$A$2:$A$71,0)),0)</x:f>
        <x:v>12427</x:v>
      </x:c>
      <x:c r="K367" s="76" t="n">
        <x:f>IFERROR(INDEX('Inventory'!$F$2:$F$71,MATCH(E367,'Inventory'!$A$2:$A$71,0)),0)</x:f>
        <x:v>1016</x:v>
      </x:c>
      <x:c r="L367" s="76" t="n">
        <x:f>SUMIFS('Open_POs'!$D$2:$D$26,'Open_POs'!$B$2:$B$26,E367,'Open_POs'!$E$2:$E$26,"&lt;="&amp;B367)</x:f>
        <x:v>1000</x:v>
      </x:c>
      <x:c r="M367" s="76" t="n">
        <x:f>J367+L367</x:f>
        <x:v>13427</x:v>
      </x:c>
      <x:c r="N367" s="76" t="n">
        <x:f>SUMIFS($I$2:I367,$E$2:E367,E367)</x:f>
        <x:v>32458.200000000004</x:v>
      </x:c>
      <x:c r="O367" s="76" t="n">
        <x:f>M367-N367</x:f>
        <x:v>-19031.200000000004</x:v>
      </x:c>
      <x:c r="P367" s="71" t="str">
        <x:f>IF(O367&lt;0,"SHORT",IF(O367&lt;K367,"BELOW TARGET","COVERED"))</x:f>
        <x:v>SHORT</x:v>
      </x:c>
      <x:c r="Q367" s="63" t="str">
        <x:f>IF(AND(P367="SHORT",COUNTIFS($E$2:E367,E367,$P$2:P367,"SHORT")=1),B367,"")</x:f>
      </x:c>
    </x:row>
    <x:row r="368" ht="15" customHeight="1">
      <x:c r="A368" s="71" t="str">
        <x:v>SO-26069</x:v>
      </x:c>
      <x:c r="B368" s="75" t="n">
        <x:v>46281</x:v>
      </x:c>
      <x:c r="C368" s="71" t="str">
        <x:v>Normal</x:v>
      </x:c>
      <x:c r="D368" s="71" t="str">
        <x:v>FG-011</x:v>
      </x:c>
      <x:c r="E368" s="71" t="str">
        <x:v>RM-058</x:v>
      </x:c>
      <x:c r="F368" s="71" t="str">
        <x:v>Filler 058</x:v>
      </x:c>
      <x:c r="G368" s="76" t="n">
        <x:v>80</x:v>
      </x:c>
      <x:c r="H368" s="76" t="n">
        <x:v>26.63</x:v>
      </x:c>
      <x:c r="I368" s="76" t="n">
        <x:f>G368*H368</x:f>
        <x:v>2130.4</x:v>
      </x:c>
      <x:c r="J368" s="76" t="n">
        <x:f>IFERROR(INDEX('Inventory'!$E$2:$E$71,MATCH(E368,'Inventory'!$A$2:$A$71,0)),0)</x:f>
        <x:v>9929</x:v>
      </x:c>
      <x:c r="K368" s="76" t="n">
        <x:f>IFERROR(INDEX('Inventory'!$F$2:$F$71,MATCH(E368,'Inventory'!$A$2:$A$71,0)),0)</x:f>
        <x:v>701</x:v>
      </x:c>
      <x:c r="L368" s="76" t="n">
        <x:f>SUMIFS('Open_POs'!$D$2:$D$26,'Open_POs'!$B$2:$B$26,E368,'Open_POs'!$E$2:$E$26,"&lt;="&amp;B368)</x:f>
        <x:v>0</x:v>
      </x:c>
      <x:c r="M368" s="76" t="n">
        <x:f>J368+L368</x:f>
        <x:v>9929</x:v>
      </x:c>
      <x:c r="N368" s="76" t="n">
        <x:f>SUMIFS($I$2:I368,$E$2:E368,E368)</x:f>
        <x:v>52091.50000000001</x:v>
      </x:c>
      <x:c r="O368" s="76" t="n">
        <x:f>M368-N368</x:f>
        <x:v>-42162.50000000001</x:v>
      </x:c>
      <x:c r="P368" s="71" t="str">
        <x:f>IF(O368&lt;0,"SHORT",IF(O368&lt;K368,"BELOW TARGET","COVERED"))</x:f>
        <x:v>SHORT</x:v>
      </x:c>
      <x:c r="Q368" s="63" t="str">
        <x:f>IF(AND(P368="SHORT",COUNTIFS($E$2:E368,E368,$P$2:P368,"SHORT")=1),B368,"")</x:f>
      </x:c>
    </x:row>
    <x:row r="369" ht="15" customHeight="1">
      <x:c r="A369" s="71" t="str">
        <x:v>SO-26049</x:v>
      </x:c>
      <x:c r="B369" s="75" t="n">
        <x:v>46282</x:v>
      </x:c>
      <x:c r="C369" s="71" t="str">
        <x:v>Normal</x:v>
      </x:c>
      <x:c r="D369" s="71" t="str">
        <x:v>FG-002</x:v>
      </x:c>
      <x:c r="E369" s="71" t="str">
        <x:v>RM-009</x:v>
      </x:c>
      <x:c r="F369" s="71" t="str">
        <x:v>Additive 009</x:v>
      </x:c>
      <x:c r="G369" s="76" t="n">
        <x:v>60</x:v>
      </x:c>
      <x:c r="H369" s="76" t="n">
        <x:v>117.77</x:v>
      </x:c>
      <x:c r="I369" s="76" t="n">
        <x:f>G369*H369</x:f>
        <x:v>7066.2</x:v>
      </x:c>
      <x:c r="J369" s="76" t="n">
        <x:f>IFERROR(INDEX('Inventory'!$E$2:$E$71,MATCH(E369,'Inventory'!$A$2:$A$71,0)),0)</x:f>
        <x:v>13813</x:v>
      </x:c>
      <x:c r="K369" s="76" t="n">
        <x:f>IFERROR(INDEX('Inventory'!$F$2:$F$71,MATCH(E369,'Inventory'!$A$2:$A$71,0)),0)</x:f>
        <x:v>1377</x:v>
      </x:c>
      <x:c r="L369" s="76" t="n">
        <x:f>SUMIFS('Open_POs'!$D$2:$D$26,'Open_POs'!$B$2:$B$26,E369,'Open_POs'!$E$2:$E$26,"&lt;="&amp;B369)</x:f>
        <x:v>0</x:v>
      </x:c>
      <x:c r="M369" s="76" t="n">
        <x:f>J369+L369</x:f>
        <x:v>13813</x:v>
      </x:c>
      <x:c r="N369" s="76" t="n">
        <x:f>SUMIFS($I$2:I369,$E$2:E369,E369)</x:f>
        <x:v>46591.3</x:v>
      </x:c>
      <x:c r="O369" s="76" t="n">
        <x:f>M369-N369</x:f>
        <x:v>-32778.3</x:v>
      </x:c>
      <x:c r="P369" s="71" t="str">
        <x:f>IF(O369&lt;0,"SHORT",IF(O369&lt;K369,"BELOW TARGET","COVERED"))</x:f>
        <x:v>SHORT</x:v>
      </x:c>
      <x:c r="Q369" s="63" t="str">
        <x:f>IF(AND(P369="SHORT",COUNTIFS($E$2:E369,E369,$P$2:P369,"SHORT")=1),B369,"")</x:f>
      </x:c>
    </x:row>
    <x:row r="370" ht="15" customHeight="1">
      <x:c r="A370" s="71" t="str">
        <x:v>SO-26049</x:v>
      </x:c>
      <x:c r="B370" s="75" t="n">
        <x:v>46282</x:v>
      </x:c>
      <x:c r="C370" s="71" t="str">
        <x:v>Normal</x:v>
      </x:c>
      <x:c r="D370" s="71" t="str">
        <x:v>FG-002</x:v>
      </x:c>
      <x:c r="E370" s="71" t="str">
        <x:v>RM-011</x:v>
      </x:c>
      <x:c r="F370" s="71" t="str">
        <x:v>Resin 011</x:v>
      </x:c>
      <x:c r="G370" s="76" t="n">
        <x:v>60</x:v>
      </x:c>
      <x:c r="H370" s="76" t="n">
        <x:v>52.57</x:v>
      </x:c>
      <x:c r="I370" s="76" t="n">
        <x:f>G370*H370</x:f>
        <x:v>3154.2</x:v>
      </x:c>
      <x:c r="J370" s="76" t="n">
        <x:f>IFERROR(INDEX('Inventory'!$E$2:$E$71,MATCH(E370,'Inventory'!$A$2:$A$71,0)),0)</x:f>
        <x:v>16410</x:v>
      </x:c>
      <x:c r="K370" s="76" t="n">
        <x:f>IFERROR(INDEX('Inventory'!$F$2:$F$71,MATCH(E370,'Inventory'!$A$2:$A$71,0)),0)</x:f>
        <x:v>1275</x:v>
      </x:c>
      <x:c r="L370" s="76" t="n">
        <x:f>SUMIFS('Open_POs'!$D$2:$D$26,'Open_POs'!$B$2:$B$26,E370,'Open_POs'!$E$2:$E$26,"&lt;="&amp;B370)</x:f>
        <x:v>0</x:v>
      </x:c>
      <x:c r="M370" s="76" t="n">
        <x:f>J370+L370</x:f>
        <x:v>16410</x:v>
      </x:c>
      <x:c r="N370" s="76" t="n">
        <x:f>SUMIFS($I$2:I370,$E$2:E370,E370)</x:f>
        <x:v>23857.2</x:v>
      </x:c>
      <x:c r="O370" s="76" t="n">
        <x:f>M370-N370</x:f>
        <x:v>-7447.200000000001</x:v>
      </x:c>
      <x:c r="P370" s="71" t="str">
        <x:f>IF(O370&lt;0,"SHORT",IF(O370&lt;K370,"BELOW TARGET","COVERED"))</x:f>
        <x:v>SHORT</x:v>
      </x:c>
      <x:c r="Q370" s="63" t="str">
        <x:f>IF(AND(P370="SHORT",COUNTIFS($E$2:E370,E370,$P$2:P370,"SHORT")=1),B370,"")</x:f>
      </x:c>
    </x:row>
    <x:row r="371" ht="15" customHeight="1">
      <x:c r="A371" s="71" t="str">
        <x:v>SO-26049</x:v>
      </x:c>
      <x:c r="B371" s="75" t="n">
        <x:v>46282</x:v>
      </x:c>
      <x:c r="C371" s="71" t="str">
        <x:v>Normal</x:v>
      </x:c>
      <x:c r="D371" s="71" t="str">
        <x:v>FG-002</x:v>
      </x:c>
      <x:c r="E371" s="71" t="str">
        <x:v>RM-026</x:v>
      </x:c>
      <x:c r="F371" s="71" t="str">
        <x:v>Resin 026</x:v>
      </x:c>
      <x:c r="G371" s="76" t="n">
        <x:v>60</x:v>
      </x:c>
      <x:c r="H371" s="76" t="n">
        <x:v>45.6</x:v>
      </x:c>
      <x:c r="I371" s="76" t="n">
        <x:f>G371*H371</x:f>
        <x:v>2736</x:v>
      </x:c>
      <x:c r="J371" s="76" t="n">
        <x:f>IFERROR(INDEX('Inventory'!$E$2:$E$71,MATCH(E371,'Inventory'!$A$2:$A$71,0)),0)</x:f>
        <x:v>1771</x:v>
      </x:c>
      <x:c r="K371" s="76" t="n">
        <x:f>IFERROR(INDEX('Inventory'!$F$2:$F$71,MATCH(E371,'Inventory'!$A$2:$A$71,0)),0)</x:f>
        <x:v>1475</x:v>
      </x:c>
      <x:c r="L371" s="76" t="n">
        <x:f>SUMIFS('Open_POs'!$D$2:$D$26,'Open_POs'!$B$2:$B$26,E371,'Open_POs'!$E$2:$E$26,"&lt;="&amp;B371)</x:f>
        <x:v>0</x:v>
      </x:c>
      <x:c r="M371" s="76" t="n">
        <x:f>J371+L371</x:f>
        <x:v>1771</x:v>
      </x:c>
      <x:c r="N371" s="76" t="n">
        <x:f>SUMIFS($I$2:I371,$E$2:E371,E371)</x:f>
        <x:v>12292</x:v>
      </x:c>
      <x:c r="O371" s="76" t="n">
        <x:f>M371-N371</x:f>
        <x:v>-10521</x:v>
      </x:c>
      <x:c r="P371" s="71" t="str">
        <x:f>IF(O371&lt;0,"SHORT",IF(O371&lt;K371,"BELOW TARGET","COVERED"))</x:f>
        <x:v>SHORT</x:v>
      </x:c>
      <x:c r="Q371" s="63" t="str">
        <x:f>IF(AND(P371="SHORT",COUNTIFS($E$2:E371,E371,$P$2:P371,"SHORT")=1),B371,"")</x:f>
      </x:c>
    </x:row>
    <x:row r="372" ht="15" customHeight="1">
      <x:c r="A372" s="71" t="str">
        <x:v>SO-26049</x:v>
      </x:c>
      <x:c r="B372" s="75" t="n">
        <x:v>46282</x:v>
      </x:c>
      <x:c r="C372" s="71" t="str">
        <x:v>Normal</x:v>
      </x:c>
      <x:c r="D372" s="71" t="str">
        <x:v>FG-002</x:v>
      </x:c>
      <x:c r="E372" s="71" t="str">
        <x:v>RM-028</x:v>
      </x:c>
      <x:c r="F372" s="71" t="str">
        <x:v>Filler 028</x:v>
      </x:c>
      <x:c r="G372" s="76" t="n">
        <x:v>60</x:v>
      </x:c>
      <x:c r="H372" s="76" t="n">
        <x:v>31.59</x:v>
      </x:c>
      <x:c r="I372" s="76" t="n">
        <x:f>G372*H372</x:f>
        <x:v>1895.4</x:v>
      </x:c>
      <x:c r="J372" s="76" t="n">
        <x:f>IFERROR(INDEX('Inventory'!$E$2:$E$71,MATCH(E372,'Inventory'!$A$2:$A$71,0)),0)</x:f>
        <x:v>14836</x:v>
      </x:c>
      <x:c r="K372" s="76" t="n">
        <x:f>IFERROR(INDEX('Inventory'!$F$2:$F$71,MATCH(E372,'Inventory'!$A$2:$A$71,0)),0)</x:f>
        <x:v>1498</x:v>
      </x:c>
      <x:c r="L372" s="76" t="n">
        <x:f>SUMIFS('Open_POs'!$D$2:$D$26,'Open_POs'!$B$2:$B$26,E372,'Open_POs'!$E$2:$E$26,"&lt;="&amp;B372)</x:f>
        <x:v>1000</x:v>
      </x:c>
      <x:c r="M372" s="76" t="n">
        <x:f>J372+L372</x:f>
        <x:v>15836</x:v>
      </x:c>
      <x:c r="N372" s="76" t="n">
        <x:f>SUMIFS($I$2:I372,$E$2:E372,E372)</x:f>
        <x:v>3456.2</x:v>
      </x:c>
      <x:c r="O372" s="76" t="n">
        <x:f>M372-N372</x:f>
        <x:v>12379.8</x:v>
      </x:c>
      <x:c r="P372" s="71" t="str">
        <x:f>IF(O372&lt;0,"SHORT",IF(O372&lt;K372,"BELOW TARGET","COVERED"))</x:f>
        <x:v>COVERED</x:v>
      </x:c>
      <x:c r="Q372" s="63" t="str">
        <x:f>IF(AND(P372="SHORT",COUNTIFS($E$2:E372,E372,$P$2:P372,"SHORT")=1),B372,"")</x:f>
      </x:c>
    </x:row>
    <x:row r="373" ht="15" customHeight="1">
      <x:c r="A373" s="71" t="str">
        <x:v>SO-26049</x:v>
      </x:c>
      <x:c r="B373" s="75" t="n">
        <x:v>46282</x:v>
      </x:c>
      <x:c r="C373" s="71" t="str">
        <x:v>Normal</x:v>
      </x:c>
      <x:c r="D373" s="71" t="str">
        <x:v>FG-002</x:v>
      </x:c>
      <x:c r="E373" s="71" t="str">
        <x:v>RM-035</x:v>
      </x:c>
      <x:c r="F373" s="71" t="str">
        <x:v>Packaging 035</x:v>
      </x:c>
      <x:c r="G373" s="76" t="n">
        <x:v>60</x:v>
      </x:c>
      <x:c r="H373" s="76" t="n">
        <x:v>109.92</x:v>
      </x:c>
      <x:c r="I373" s="76" t="n">
        <x:f>G373*H373</x:f>
        <x:v>6595.2</x:v>
      </x:c>
      <x:c r="J373" s="76" t="n">
        <x:f>IFERROR(INDEX('Inventory'!$E$2:$E$71,MATCH(E373,'Inventory'!$A$2:$A$71,0)),0)</x:f>
        <x:v>8691</x:v>
      </x:c>
      <x:c r="K373" s="76" t="n">
        <x:f>IFERROR(INDEX('Inventory'!$F$2:$F$71,MATCH(E373,'Inventory'!$A$2:$A$71,0)),0)</x:f>
        <x:v>505</x:v>
      </x:c>
      <x:c r="L373" s="76" t="n">
        <x:f>SUMIFS('Open_POs'!$D$2:$D$26,'Open_POs'!$B$2:$B$26,E373,'Open_POs'!$E$2:$E$26,"&lt;="&amp;B373)</x:f>
        <x:v>0</x:v>
      </x:c>
      <x:c r="M373" s="76" t="n">
        <x:f>J373+L373</x:f>
        <x:v>8691</x:v>
      </x:c>
      <x:c r="N373" s="76" t="n">
        <x:f>SUMIFS($I$2:I373,$E$2:E373,E373)</x:f>
        <x:v>10992</x:v>
      </x:c>
      <x:c r="O373" s="76" t="n">
        <x:f>M373-N373</x:f>
        <x:v>-2301</x:v>
      </x:c>
      <x:c r="P373" s="71" t="str">
        <x:f>IF(O373&lt;0,"SHORT",IF(O373&lt;K373,"BELOW TARGET","COVERED"))</x:f>
        <x:v>SHORT</x:v>
      </x:c>
      <x:c r="Q373" s="63" t="n">
        <x:f>IF(AND(P373="SHORT",COUNTIFS($E$2:E373,E373,$P$2:P373,"SHORT")=1),B373,"")</x:f>
        <x:v>46282</x:v>
      </x:c>
    </x:row>
    <x:row r="374" ht="15" customHeight="1">
      <x:c r="A374" s="71" t="str">
        <x:v>SO-26049</x:v>
      </x:c>
      <x:c r="B374" s="75" t="n">
        <x:v>46282</x:v>
      </x:c>
      <x:c r="C374" s="71" t="str">
        <x:v>Normal</x:v>
      </x:c>
      <x:c r="D374" s="71" t="str">
        <x:v>FG-002</x:v>
      </x:c>
      <x:c r="E374" s="71" t="str">
        <x:v>RM-054</x:v>
      </x:c>
      <x:c r="F374" s="71" t="str">
        <x:v>Additive 054</x:v>
      </x:c>
      <x:c r="G374" s="76" t="n">
        <x:v>60</x:v>
      </x:c>
      <x:c r="H374" s="76" t="n">
        <x:v>85.79</x:v>
      </x:c>
      <x:c r="I374" s="76" t="n">
        <x:f>G374*H374</x:f>
        <x:v>5147.400000000001</x:v>
      </x:c>
      <x:c r="J374" s="76" t="n">
        <x:f>IFERROR(INDEX('Inventory'!$E$2:$E$71,MATCH(E374,'Inventory'!$A$2:$A$71,0)),0)</x:f>
        <x:v>15751</x:v>
      </x:c>
      <x:c r="K374" s="76" t="n">
        <x:f>IFERROR(INDEX('Inventory'!$F$2:$F$71,MATCH(E374,'Inventory'!$A$2:$A$71,0)),0)</x:f>
        <x:v>1392</x:v>
      </x:c>
      <x:c r="L374" s="76" t="n">
        <x:f>SUMIFS('Open_POs'!$D$2:$D$26,'Open_POs'!$B$2:$B$26,E374,'Open_POs'!$E$2:$E$26,"&lt;="&amp;B374)</x:f>
        <x:v>0</x:v>
      </x:c>
      <x:c r="M374" s="76" t="n">
        <x:f>J374+L374</x:f>
        <x:v>15751</x:v>
      </x:c>
      <x:c r="N374" s="76" t="n">
        <x:f>SUMIFS($I$2:I374,$E$2:E374,E374)</x:f>
        <x:v>8579</x:v>
      </x:c>
      <x:c r="O374" s="76" t="n">
        <x:f>M374-N374</x:f>
        <x:v>7172</x:v>
      </x:c>
      <x:c r="P374" s="71" t="str">
        <x:f>IF(O374&lt;0,"SHORT",IF(O374&lt;K374,"BELOW TARGET","COVERED"))</x:f>
        <x:v>COVERED</x:v>
      </x:c>
      <x:c r="Q374" s="63" t="str">
        <x:f>IF(AND(P374="SHORT",COUNTIFS($E$2:E374,E374,$P$2:P374,"SHORT")=1),B374,"")</x:f>
      </x:c>
    </x:row>
    <x:row r="375" ht="15" customHeight="1">
      <x:c r="A375" s="71" t="str">
        <x:v>SO-26049</x:v>
      </x:c>
      <x:c r="B375" s="75" t="n">
        <x:v>46282</x:v>
      </x:c>
      <x:c r="C375" s="71" t="str">
        <x:v>Normal</x:v>
      </x:c>
      <x:c r="D375" s="71" t="str">
        <x:v>FG-002</x:v>
      </x:c>
      <x:c r="E375" s="71" t="str">
        <x:v>RM-058</x:v>
      </x:c>
      <x:c r="F375" s="71" t="str">
        <x:v>Filler 058</x:v>
      </x:c>
      <x:c r="G375" s="76" t="n">
        <x:v>60</x:v>
      </x:c>
      <x:c r="H375" s="76" t="n">
        <x:v>110.47</x:v>
      </x:c>
      <x:c r="I375" s="76" t="n">
        <x:f>G375*H375</x:f>
        <x:v>6628.2</x:v>
      </x:c>
      <x:c r="J375" s="76" t="n">
        <x:f>IFERROR(INDEX('Inventory'!$E$2:$E$71,MATCH(E375,'Inventory'!$A$2:$A$71,0)),0)</x:f>
        <x:v>9929</x:v>
      </x:c>
      <x:c r="K375" s="76" t="n">
        <x:f>IFERROR(INDEX('Inventory'!$F$2:$F$71,MATCH(E375,'Inventory'!$A$2:$A$71,0)),0)</x:f>
        <x:v>701</x:v>
      </x:c>
      <x:c r="L375" s="76" t="n">
        <x:f>SUMIFS('Open_POs'!$D$2:$D$26,'Open_POs'!$B$2:$B$26,E375,'Open_POs'!$E$2:$E$26,"&lt;="&amp;B375)</x:f>
        <x:v>0</x:v>
      </x:c>
      <x:c r="M375" s="76" t="n">
        <x:f>J375+L375</x:f>
        <x:v>9929</x:v>
      </x:c>
      <x:c r="N375" s="76" t="n">
        <x:f>SUMIFS($I$2:I375,$E$2:E375,E375)</x:f>
        <x:v>58719.700000000004</x:v>
      </x:c>
      <x:c r="O375" s="76" t="n">
        <x:f>M375-N375</x:f>
        <x:v>-48790.700000000004</x:v>
      </x:c>
      <x:c r="P375" s="71" t="str">
        <x:f>IF(O375&lt;0,"SHORT",IF(O375&lt;K375,"BELOW TARGET","COVERED"))</x:f>
        <x:v>SHORT</x:v>
      </x:c>
      <x:c r="Q375" s="63" t="str">
        <x:f>IF(AND(P375="SHORT",COUNTIFS($E$2:E375,E375,$P$2:P375,"SHORT")=1),B375,"")</x:f>
      </x:c>
    </x:row>
    <x:row r="376" ht="15" customHeight="1">
      <x:c r="A376" s="71" t="str">
        <x:v>SO-26061</x:v>
      </x:c>
      <x:c r="B376" s="75" t="n">
        <x:v>46282</x:v>
      </x:c>
      <x:c r="C376" s="71" t="str">
        <x:v>Normal</x:v>
      </x:c>
      <x:c r="D376" s="71" t="str">
        <x:v>FG-017</x:v>
      </x:c>
      <x:c r="E376" s="71" t="str">
        <x:v>RM-003</x:v>
      </x:c>
      <x:c r="F376" s="71" t="str">
        <x:v>Filler 003</x:v>
      </x:c>
      <x:c r="G376" s="76" t="n">
        <x:v>50</x:v>
      </x:c>
      <x:c r="H376" s="76" t="n">
        <x:v>60.21</x:v>
      </x:c>
      <x:c r="I376" s="76" t="n">
        <x:f>G376*H376</x:f>
        <x:v>3010.5</x:v>
      </x:c>
      <x:c r="J376" s="76" t="n">
        <x:f>IFERROR(INDEX('Inventory'!$E$2:$E$71,MATCH(E376,'Inventory'!$A$2:$A$71,0)),0)</x:f>
        <x:v>15564</x:v>
      </x:c>
      <x:c r="K376" s="76" t="n">
        <x:f>IFERROR(INDEX('Inventory'!$F$2:$F$71,MATCH(E376,'Inventory'!$A$2:$A$71,0)),0)</x:f>
        <x:v>174</x:v>
      </x:c>
      <x:c r="L376" s="76" t="n">
        <x:f>SUMIFS('Open_POs'!$D$2:$D$26,'Open_POs'!$B$2:$B$26,E376,'Open_POs'!$E$2:$E$26,"&lt;="&amp;B376)</x:f>
        <x:v>0</x:v>
      </x:c>
      <x:c r="M376" s="76" t="n">
        <x:f>J376+L376</x:f>
        <x:v>15564</x:v>
      </x:c>
      <x:c r="N376" s="76" t="n">
        <x:f>SUMIFS($I$2:I376,$E$2:E376,E376)</x:f>
        <x:v>9633.6</x:v>
      </x:c>
      <x:c r="O376" s="76" t="n">
        <x:f>M376-N376</x:f>
        <x:v>5930.4</x:v>
      </x:c>
      <x:c r="P376" s="71" t="str">
        <x:f>IF(O376&lt;0,"SHORT",IF(O376&lt;K376,"BELOW TARGET","COVERED"))</x:f>
        <x:v>COVERED</x:v>
      </x:c>
      <x:c r="Q376" s="63" t="str">
        <x:f>IF(AND(P376="SHORT",COUNTIFS($E$2:E376,E376,$P$2:P376,"SHORT")=1),B376,"")</x:f>
      </x:c>
    </x:row>
    <x:row r="377" ht="15" customHeight="1">
      <x:c r="A377" s="71" t="str">
        <x:v>SO-26061</x:v>
      </x:c>
      <x:c r="B377" s="75" t="n">
        <x:v>46282</x:v>
      </x:c>
      <x:c r="C377" s="71" t="str">
        <x:v>Normal</x:v>
      </x:c>
      <x:c r="D377" s="71" t="str">
        <x:v>FG-017</x:v>
      </x:c>
      <x:c r="E377" s="71" t="str">
        <x:v>RM-005</x:v>
      </x:c>
      <x:c r="F377" s="71" t="str">
        <x:v>Packaging 005</x:v>
      </x:c>
      <x:c r="G377" s="76" t="n">
        <x:v>50</x:v>
      </x:c>
      <x:c r="H377" s="76" t="n">
        <x:v>50.91</x:v>
      </x:c>
      <x:c r="I377" s="76" t="n">
        <x:f>G377*H377</x:f>
        <x:v>2545.5</x:v>
      </x:c>
      <x:c r="J377" s="76" t="n">
        <x:f>IFERROR(INDEX('Inventory'!$E$2:$E$71,MATCH(E377,'Inventory'!$A$2:$A$71,0)),0)</x:f>
        <x:v>8699</x:v>
      </x:c>
      <x:c r="K377" s="76" t="n">
        <x:f>IFERROR(INDEX('Inventory'!$F$2:$F$71,MATCH(E377,'Inventory'!$A$2:$A$71,0)),0)</x:f>
        <x:v>1174</x:v>
      </x:c>
      <x:c r="L377" s="76" t="n">
        <x:f>SUMIFS('Open_POs'!$D$2:$D$26,'Open_POs'!$B$2:$B$26,E377,'Open_POs'!$E$2:$E$26,"&lt;="&amp;B377)</x:f>
        <x:v>0</x:v>
      </x:c>
      <x:c r="M377" s="76" t="n">
        <x:f>J377+L377</x:f>
        <x:v>8699</x:v>
      </x:c>
      <x:c r="N377" s="76" t="n">
        <x:f>SUMIFS($I$2:I377,$E$2:E377,E377)</x:f>
        <x:v>35671.399999999994</x:v>
      </x:c>
      <x:c r="O377" s="76" t="n">
        <x:f>M377-N377</x:f>
        <x:v>-26972.399999999994</x:v>
      </x:c>
      <x:c r="P377" s="71" t="str">
        <x:f>IF(O377&lt;0,"SHORT",IF(O377&lt;K377,"BELOW TARGET","COVERED"))</x:f>
        <x:v>SHORT</x:v>
      </x:c>
      <x:c r="Q377" s="63" t="str">
        <x:f>IF(AND(P377="SHORT",COUNTIFS($E$2:E377,E377,$P$2:P377,"SHORT")=1),B377,"")</x:f>
      </x:c>
    </x:row>
    <x:row r="378" ht="15" customHeight="1">
      <x:c r="A378" s="71" t="str">
        <x:v>SO-26061</x:v>
      </x:c>
      <x:c r="B378" s="75" t="n">
        <x:v>46282</x:v>
      </x:c>
      <x:c r="C378" s="71" t="str">
        <x:v>Normal</x:v>
      </x:c>
      <x:c r="D378" s="71" t="str">
        <x:v>FG-017</x:v>
      </x:c>
      <x:c r="E378" s="71" t="str">
        <x:v>RM-025</x:v>
      </x:c>
      <x:c r="F378" s="71" t="str">
        <x:v>Packaging 025</x:v>
      </x:c>
      <x:c r="G378" s="76" t="n">
        <x:v>50</x:v>
      </x:c>
      <x:c r="H378" s="76" t="n">
        <x:v>41.44</x:v>
      </x:c>
      <x:c r="I378" s="76" t="n">
        <x:f>G378*H378</x:f>
        <x:v>2072</x:v>
      </x:c>
      <x:c r="J378" s="76" t="n">
        <x:f>IFERROR(INDEX('Inventory'!$E$2:$E$71,MATCH(E378,'Inventory'!$A$2:$A$71,0)),0)</x:f>
        <x:v>2469</x:v>
      </x:c>
      <x:c r="K378" s="76" t="n">
        <x:f>IFERROR(INDEX('Inventory'!$F$2:$F$71,MATCH(E378,'Inventory'!$A$2:$A$71,0)),0)</x:f>
        <x:v>229</x:v>
      </x:c>
      <x:c r="L378" s="76" t="n">
        <x:f>SUMIFS('Open_POs'!$D$2:$D$26,'Open_POs'!$B$2:$B$26,E378,'Open_POs'!$E$2:$E$26,"&lt;="&amp;B378)</x:f>
        <x:v>10000</x:v>
      </x:c>
      <x:c r="M378" s="76" t="n">
        <x:f>J378+L378</x:f>
        <x:v>12469</x:v>
      </x:c>
      <x:c r="N378" s="76" t="n">
        <x:f>SUMIFS($I$2:I378,$E$2:E378,E378)</x:f>
        <x:v>32016.399999999994</x:v>
      </x:c>
      <x:c r="O378" s="76" t="n">
        <x:f>M378-N378</x:f>
        <x:v>-19547.399999999994</x:v>
      </x:c>
      <x:c r="P378" s="71" t="str">
        <x:f>IF(O378&lt;0,"SHORT",IF(O378&lt;K378,"BELOW TARGET","COVERED"))</x:f>
        <x:v>SHORT</x:v>
      </x:c>
      <x:c r="Q378" s="63" t="str">
        <x:f>IF(AND(P378="SHORT",COUNTIFS($E$2:E378,E378,$P$2:P378,"SHORT")=1),B378,"")</x:f>
      </x:c>
    </x:row>
    <x:row r="379" ht="15" customHeight="1">
      <x:c r="A379" s="71" t="str">
        <x:v>SO-26061</x:v>
      </x:c>
      <x:c r="B379" s="75" t="n">
        <x:v>46282</x:v>
      </x:c>
      <x:c r="C379" s="71" t="str">
        <x:v>Normal</x:v>
      </x:c>
      <x:c r="D379" s="71" t="str">
        <x:v>FG-017</x:v>
      </x:c>
      <x:c r="E379" s="71" t="str">
        <x:v>RM-041</x:v>
      </x:c>
      <x:c r="F379" s="71" t="str">
        <x:v>Resin 041</x:v>
      </x:c>
      <x:c r="G379" s="76" t="n">
        <x:v>50</x:v>
      </x:c>
      <x:c r="H379" s="76" t="n">
        <x:v>38.8</x:v>
      </x:c>
      <x:c r="I379" s="76" t="n">
        <x:f>G379*H379</x:f>
        <x:v>1939.9999999999998</x:v>
      </x:c>
      <x:c r="J379" s="76" t="n">
        <x:f>IFERROR(INDEX('Inventory'!$E$2:$E$71,MATCH(E379,'Inventory'!$A$2:$A$71,0)),0)</x:f>
        <x:v>4635</x:v>
      </x:c>
      <x:c r="K379" s="76" t="n">
        <x:f>IFERROR(INDEX('Inventory'!$F$2:$F$71,MATCH(E379,'Inventory'!$A$2:$A$71,0)),0)</x:f>
        <x:v>987</x:v>
      </x:c>
      <x:c r="L379" s="76" t="n">
        <x:f>SUMIFS('Open_POs'!$D$2:$D$26,'Open_POs'!$B$2:$B$26,E379,'Open_POs'!$E$2:$E$26,"&lt;="&amp;B379)</x:f>
        <x:v>0</x:v>
      </x:c>
      <x:c r="M379" s="76" t="n">
        <x:f>J379+L379</x:f>
        <x:v>4635</x:v>
      </x:c>
      <x:c r="N379" s="76" t="n">
        <x:f>SUMIFS($I$2:I379,$E$2:E379,E379)</x:f>
        <x:v>11679.2</x:v>
      </x:c>
      <x:c r="O379" s="76" t="n">
        <x:f>M379-N379</x:f>
        <x:v>-7044.200000000001</x:v>
      </x:c>
      <x:c r="P379" s="71" t="str">
        <x:f>IF(O379&lt;0,"SHORT",IF(O379&lt;K379,"BELOW TARGET","COVERED"))</x:f>
        <x:v>SHORT</x:v>
      </x:c>
      <x:c r="Q379" s="63" t="str">
        <x:f>IF(AND(P379="SHORT",COUNTIFS($E$2:E379,E379,$P$2:P379,"SHORT")=1),B379,"")</x:f>
      </x:c>
    </x:row>
    <x:row r="380" ht="15" customHeight="1">
      <x:c r="A380" s="71" t="str">
        <x:v>SO-26061</x:v>
      </x:c>
      <x:c r="B380" s="75" t="n">
        <x:v>46282</x:v>
      </x:c>
      <x:c r="C380" s="71" t="str">
        <x:v>Normal</x:v>
      </x:c>
      <x:c r="D380" s="71" t="str">
        <x:v>FG-017</x:v>
      </x:c>
      <x:c r="E380" s="71" t="str">
        <x:v>RM-056</x:v>
      </x:c>
      <x:c r="F380" s="71" t="str">
        <x:v>Resin 056</x:v>
      </x:c>
      <x:c r="G380" s="76" t="n">
        <x:v>50</x:v>
      </x:c>
      <x:c r="H380" s="76" t="n">
        <x:v>73.02</x:v>
      </x:c>
      <x:c r="I380" s="76" t="n">
        <x:f>G380*H380</x:f>
        <x:v>3651</x:v>
      </x:c>
      <x:c r="J380" s="76" t="n">
        <x:f>IFERROR(INDEX('Inventory'!$E$2:$E$71,MATCH(E380,'Inventory'!$A$2:$A$71,0)),0)</x:f>
        <x:v>862</x:v>
      </x:c>
      <x:c r="K380" s="76" t="n">
        <x:f>IFERROR(INDEX('Inventory'!$F$2:$F$71,MATCH(E380,'Inventory'!$A$2:$A$71,0)),0)</x:f>
        <x:v>108</x:v>
      </x:c>
      <x:c r="L380" s="76" t="n">
        <x:f>SUMIFS('Open_POs'!$D$2:$D$26,'Open_POs'!$B$2:$B$26,E380,'Open_POs'!$E$2:$E$26,"&lt;="&amp;B380)</x:f>
        <x:v>0</x:v>
      </x:c>
      <x:c r="M380" s="76" t="n">
        <x:f>J380+L380</x:f>
        <x:v>862</x:v>
      </x:c>
      <x:c r="N380" s="76" t="n">
        <x:f>SUMIFS($I$2:I380,$E$2:E380,E380)</x:f>
        <x:v>11683.199999999999</x:v>
      </x:c>
      <x:c r="O380" s="76" t="n">
        <x:f>M380-N380</x:f>
        <x:v>-10821.199999999999</x:v>
      </x:c>
      <x:c r="P380" s="71" t="str">
        <x:f>IF(O380&lt;0,"SHORT",IF(O380&lt;K380,"BELOW TARGET","COVERED"))</x:f>
        <x:v>SHORT</x:v>
      </x:c>
      <x:c r="Q380" s="63" t="str">
        <x:f>IF(AND(P380="SHORT",COUNTIFS($E$2:E380,E380,$P$2:P380,"SHORT")=1),B380,"")</x:f>
      </x:c>
    </x:row>
    <x:row r="381" ht="15" customHeight="1">
      <x:c r="A381" s="71" t="str">
        <x:v>SO-26061</x:v>
      </x:c>
      <x:c r="B381" s="75" t="n">
        <x:v>46282</x:v>
      </x:c>
      <x:c r="C381" s="71" t="str">
        <x:v>Normal</x:v>
      </x:c>
      <x:c r="D381" s="71" t="str">
        <x:v>FG-017</x:v>
      </x:c>
      <x:c r="E381" s="71" t="str">
        <x:v>RM-059</x:v>
      </x:c>
      <x:c r="F381" s="71" t="str">
        <x:v>Additive 059</x:v>
      </x:c>
      <x:c r="G381" s="76" t="n">
        <x:v>50</x:v>
      </x:c>
      <x:c r="H381" s="76" t="n">
        <x:v>60.54</x:v>
      </x:c>
      <x:c r="I381" s="76" t="n">
        <x:f>G381*H381</x:f>
        <x:v>3027</x:v>
      </x:c>
      <x:c r="J381" s="76" t="n">
        <x:f>IFERROR(INDEX('Inventory'!$E$2:$E$71,MATCH(E381,'Inventory'!$A$2:$A$71,0)),0)</x:f>
        <x:v>10488</x:v>
      </x:c>
      <x:c r="K381" s="76" t="n">
        <x:f>IFERROR(INDEX('Inventory'!$F$2:$F$71,MATCH(E381,'Inventory'!$A$2:$A$71,0)),0)</x:f>
        <x:v>1442</x:v>
      </x:c>
      <x:c r="L381" s="76" t="n">
        <x:f>SUMIFS('Open_POs'!$D$2:$D$26,'Open_POs'!$B$2:$B$26,E381,'Open_POs'!$E$2:$E$26,"&lt;="&amp;B381)</x:f>
        <x:v>0</x:v>
      </x:c>
      <x:c r="M381" s="76" t="n">
        <x:f>J381+L381</x:f>
        <x:v>10488</x:v>
      </x:c>
      <x:c r="N381" s="76" t="n">
        <x:f>SUMIFS($I$2:I381,$E$2:E381,E381)</x:f>
        <x:v>41394.8</x:v>
      </x:c>
      <x:c r="O381" s="76" t="n">
        <x:f>M381-N381</x:f>
        <x:v>-30906.800000000003</x:v>
      </x:c>
      <x:c r="P381" s="71" t="str">
        <x:f>IF(O381&lt;0,"SHORT",IF(O381&lt;K381,"BELOW TARGET","COVERED"))</x:f>
        <x:v>SHORT</x:v>
      </x:c>
      <x:c r="Q381" s="63" t="str">
        <x:f>IF(AND(P381="SHORT",COUNTIFS($E$2:E381,E381,$P$2:P381,"SHORT")=1),B381,"")</x:f>
      </x:c>
    </x:row>
    <x:row r="382" ht="15" customHeight="1">
      <x:c r="A382" s="71" t="str">
        <x:v>SO-26067</x:v>
      </x:c>
      <x:c r="B382" s="75" t="n">
        <x:v>46282</x:v>
      </x:c>
      <x:c r="C382" s="71" t="str">
        <x:v>Normal</x:v>
      </x:c>
      <x:c r="D382" s="71" t="str">
        <x:v>FG-016</x:v>
      </x:c>
      <x:c r="E382" s="71" t="str">
        <x:v>RM-004</x:v>
      </x:c>
      <x:c r="F382" s="71" t="str">
        <x:v>Additive 004</x:v>
      </x:c>
      <x:c r="G382" s="76" t="n">
        <x:v>100</x:v>
      </x:c>
      <x:c r="H382" s="76" t="n">
        <x:v>6.48</x:v>
      </x:c>
      <x:c r="I382" s="76" t="n">
        <x:f>G382*H382</x:f>
        <x:v>648</x:v>
      </x:c>
      <x:c r="J382" s="76" t="n">
        <x:f>IFERROR(INDEX('Inventory'!$E$2:$E$71,MATCH(E382,'Inventory'!$A$2:$A$71,0)),0)</x:f>
        <x:v>11262</x:v>
      </x:c>
      <x:c r="K382" s="76" t="n">
        <x:f>IFERROR(INDEX('Inventory'!$F$2:$F$71,MATCH(E382,'Inventory'!$A$2:$A$71,0)),0)</x:f>
        <x:v>1178</x:v>
      </x:c>
      <x:c r="L382" s="76" t="n">
        <x:f>SUMIFS('Open_POs'!$D$2:$D$26,'Open_POs'!$B$2:$B$26,E382,'Open_POs'!$E$2:$E$26,"&lt;="&amp;B382)</x:f>
        <x:v>0</x:v>
      </x:c>
      <x:c r="M382" s="76" t="n">
        <x:f>J382+L382</x:f>
        <x:v>11262</x:v>
      </x:c>
      <x:c r="N382" s="76" t="n">
        <x:f>SUMIFS($I$2:I382,$E$2:E382,E382)</x:f>
        <x:v>6811.6</x:v>
      </x:c>
      <x:c r="O382" s="76" t="n">
        <x:f>M382-N382</x:f>
        <x:v>4450.4</x:v>
      </x:c>
      <x:c r="P382" s="71" t="str">
        <x:f>IF(O382&lt;0,"SHORT",IF(O382&lt;K382,"BELOW TARGET","COVERED"))</x:f>
        <x:v>COVERED</x:v>
      </x:c>
      <x:c r="Q382" s="63" t="str">
        <x:f>IF(AND(P382="SHORT",COUNTIFS($E$2:E382,E382,$P$2:P382,"SHORT")=1),B382,"")</x:f>
      </x:c>
    </x:row>
    <x:row r="383" ht="15" customHeight="1">
      <x:c r="A383" s="71" t="str">
        <x:v>SO-26067</x:v>
      </x:c>
      <x:c r="B383" s="75" t="n">
        <x:v>46282</x:v>
      </x:c>
      <x:c r="C383" s="71" t="str">
        <x:v>Normal</x:v>
      </x:c>
      <x:c r="D383" s="71" t="str">
        <x:v>FG-016</x:v>
      </x:c>
      <x:c r="E383" s="71" t="str">
        <x:v>RM-010</x:v>
      </x:c>
      <x:c r="F383" s="71" t="str">
        <x:v>Packaging 010</x:v>
      </x:c>
      <x:c r="G383" s="76" t="n">
        <x:v>100</x:v>
      </x:c>
      <x:c r="H383" s="76" t="n">
        <x:v>48.81</x:v>
      </x:c>
      <x:c r="I383" s="76" t="n">
        <x:f>G383*H383</x:f>
        <x:v>4881</x:v>
      </x:c>
      <x:c r="J383" s="76" t="n">
        <x:f>IFERROR(INDEX('Inventory'!$E$2:$E$71,MATCH(E383,'Inventory'!$A$2:$A$71,0)),0)</x:f>
        <x:v>14191</x:v>
      </x:c>
      <x:c r="K383" s="76" t="n">
        <x:f>IFERROR(INDEX('Inventory'!$F$2:$F$71,MATCH(E383,'Inventory'!$A$2:$A$71,0)),0)</x:f>
        <x:v>615</x:v>
      </x:c>
      <x:c r="L383" s="76" t="n">
        <x:f>SUMIFS('Open_POs'!$D$2:$D$26,'Open_POs'!$B$2:$B$26,E383,'Open_POs'!$E$2:$E$26,"&lt;="&amp;B383)</x:f>
        <x:v>0</x:v>
      </x:c>
      <x:c r="M383" s="76" t="n">
        <x:f>J383+L383</x:f>
        <x:v>14191</x:v>
      </x:c>
      <x:c r="N383" s="76" t="n">
        <x:f>SUMIFS($I$2:I383,$E$2:E383,E383)</x:f>
        <x:v>52172.700000000004</x:v>
      </x:c>
      <x:c r="O383" s="76" t="n">
        <x:f>M383-N383</x:f>
        <x:v>-37981.700000000004</x:v>
      </x:c>
      <x:c r="P383" s="71" t="str">
        <x:f>IF(O383&lt;0,"SHORT",IF(O383&lt;K383,"BELOW TARGET","COVERED"))</x:f>
        <x:v>SHORT</x:v>
      </x:c>
      <x:c r="Q383" s="63" t="str">
        <x:f>IF(AND(P383="SHORT",COUNTIFS($E$2:E383,E383,$P$2:P383,"SHORT")=1),B383,"")</x:f>
      </x:c>
    </x:row>
    <x:row r="384" ht="15" customHeight="1">
      <x:c r="A384" s="71" t="str">
        <x:v>SO-26067</x:v>
      </x:c>
      <x:c r="B384" s="75" t="n">
        <x:v>46282</x:v>
      </x:c>
      <x:c r="C384" s="71" t="str">
        <x:v>Normal</x:v>
      </x:c>
      <x:c r="D384" s="71" t="str">
        <x:v>FG-016</x:v>
      </x:c>
      <x:c r="E384" s="71" t="str">
        <x:v>RM-016</x:v>
      </x:c>
      <x:c r="F384" s="71" t="str">
        <x:v>Resin 016</x:v>
      </x:c>
      <x:c r="G384" s="76" t="n">
        <x:v>100</x:v>
      </x:c>
      <x:c r="H384" s="76" t="n">
        <x:v>32.75</x:v>
      </x:c>
      <x:c r="I384" s="76" t="n">
        <x:f>G384*H384</x:f>
        <x:v>3275</x:v>
      </x:c>
      <x:c r="J384" s="76" t="n">
        <x:f>IFERROR(INDEX('Inventory'!$E$2:$E$71,MATCH(E384,'Inventory'!$A$2:$A$71,0)),0)</x:f>
        <x:v>116</x:v>
      </x:c>
      <x:c r="K384" s="76" t="n">
        <x:f>IFERROR(INDEX('Inventory'!$F$2:$F$71,MATCH(E384,'Inventory'!$A$2:$A$71,0)),0)</x:f>
        <x:v>888</x:v>
      </x:c>
      <x:c r="L384" s="76" t="n">
        <x:f>SUMIFS('Open_POs'!$D$2:$D$26,'Open_POs'!$B$2:$B$26,E384,'Open_POs'!$E$2:$E$26,"&lt;="&amp;B384)</x:f>
        <x:v>0</x:v>
      </x:c>
      <x:c r="M384" s="76" t="n">
        <x:f>J384+L384</x:f>
        <x:v>116</x:v>
      </x:c>
      <x:c r="N384" s="76" t="n">
        <x:f>SUMIFS($I$2:I384,$E$2:E384,E384)</x:f>
        <x:v>13564.6</x:v>
      </x:c>
      <x:c r="O384" s="76" t="n">
        <x:f>M384-N384</x:f>
        <x:v>-13448.6</x:v>
      </x:c>
      <x:c r="P384" s="71" t="str">
        <x:f>IF(O384&lt;0,"SHORT",IF(O384&lt;K384,"BELOW TARGET","COVERED"))</x:f>
        <x:v>SHORT</x:v>
      </x:c>
      <x:c r="Q384" s="63" t="str">
        <x:f>IF(AND(P384="SHORT",COUNTIFS($E$2:E384,E384,$P$2:P384,"SHORT")=1),B384,"")</x:f>
      </x:c>
    </x:row>
    <x:row r="385" ht="15" customHeight="1">
      <x:c r="A385" s="71" t="str">
        <x:v>SO-26067</x:v>
      </x:c>
      <x:c r="B385" s="75" t="n">
        <x:v>46282</x:v>
      </x:c>
      <x:c r="C385" s="71" t="str">
        <x:v>Normal</x:v>
      </x:c>
      <x:c r="D385" s="71" t="str">
        <x:v>FG-016</x:v>
      </x:c>
      <x:c r="E385" s="71" t="str">
        <x:v>RM-023</x:v>
      </x:c>
      <x:c r="F385" s="71" t="str">
        <x:v>Filler 023</x:v>
      </x:c>
      <x:c r="G385" s="76" t="n">
        <x:v>100</x:v>
      </x:c>
      <x:c r="H385" s="76" t="n">
        <x:v>27.38</x:v>
      </x:c>
      <x:c r="I385" s="76" t="n">
        <x:f>G385*H385</x:f>
        <x:v>2738</x:v>
      </x:c>
      <x:c r="J385" s="76" t="n">
        <x:f>IFERROR(INDEX('Inventory'!$E$2:$E$71,MATCH(E385,'Inventory'!$A$2:$A$71,0)),0)</x:f>
        <x:v>3401</x:v>
      </x:c>
      <x:c r="K385" s="76" t="n">
        <x:f>IFERROR(INDEX('Inventory'!$F$2:$F$71,MATCH(E385,'Inventory'!$A$2:$A$71,0)),0)</x:f>
        <x:v>418</x:v>
      </x:c>
      <x:c r="L385" s="76" t="n">
        <x:f>SUMIFS('Open_POs'!$D$2:$D$26,'Open_POs'!$B$2:$B$26,E385,'Open_POs'!$E$2:$E$26,"&lt;="&amp;B385)</x:f>
        <x:v>0</x:v>
      </x:c>
      <x:c r="M385" s="76" t="n">
        <x:f>J385+L385</x:f>
        <x:v>3401</x:v>
      </x:c>
      <x:c r="N385" s="76" t="n">
        <x:f>SUMIFS($I$2:I385,$E$2:E385,E385)</x:f>
        <x:v>13003.8</x:v>
      </x:c>
      <x:c r="O385" s="76" t="n">
        <x:f>M385-N385</x:f>
        <x:v>-9602.8</x:v>
      </x:c>
      <x:c r="P385" s="71" t="str">
        <x:f>IF(O385&lt;0,"SHORT",IF(O385&lt;K385,"BELOW TARGET","COVERED"))</x:f>
        <x:v>SHORT</x:v>
      </x:c>
      <x:c r="Q385" s="63" t="str">
        <x:f>IF(AND(P385="SHORT",COUNTIFS($E$2:E385,E385,$P$2:P385,"SHORT")=1),B385,"")</x:f>
      </x:c>
    </x:row>
    <x:row r="386" ht="15" customHeight="1">
      <x:c r="A386" s="71" t="str">
        <x:v>SO-26067</x:v>
      </x:c>
      <x:c r="B386" s="75" t="n">
        <x:v>46282</x:v>
      </x:c>
      <x:c r="C386" s="71" t="str">
        <x:v>Normal</x:v>
      </x:c>
      <x:c r="D386" s="71" t="str">
        <x:v>FG-016</x:v>
      </x:c>
      <x:c r="E386" s="71" t="str">
        <x:v>RM-031</x:v>
      </x:c>
      <x:c r="F386" s="71" t="str">
        <x:v>Resin 031</x:v>
      </x:c>
      <x:c r="G386" s="76" t="n">
        <x:v>100</x:v>
      </x:c>
      <x:c r="H386" s="76" t="n">
        <x:v>27.04</x:v>
      </x:c>
      <x:c r="I386" s="76" t="n">
        <x:f>G386*H386</x:f>
        <x:v>2704</x:v>
      </x:c>
      <x:c r="J386" s="76" t="n">
        <x:f>IFERROR(INDEX('Inventory'!$E$2:$E$71,MATCH(E386,'Inventory'!$A$2:$A$71,0)),0)</x:f>
        <x:v>6087</x:v>
      </x:c>
      <x:c r="K386" s="76" t="n">
        <x:f>IFERROR(INDEX('Inventory'!$F$2:$F$71,MATCH(E386,'Inventory'!$A$2:$A$71,0)),0)</x:f>
        <x:v>714</x:v>
      </x:c>
      <x:c r="L386" s="76" t="n">
        <x:f>SUMIFS('Open_POs'!$D$2:$D$26,'Open_POs'!$B$2:$B$26,E386,'Open_POs'!$E$2:$E$26,"&lt;="&amp;B386)</x:f>
        <x:v>0</x:v>
      </x:c>
      <x:c r="M386" s="76" t="n">
        <x:f>J386+L386</x:f>
        <x:v>6087</x:v>
      </x:c>
      <x:c r="N386" s="76" t="n">
        <x:f>SUMIFS($I$2:I386,$E$2:E386,E386)</x:f>
        <x:v>18622.1</x:v>
      </x:c>
      <x:c r="O386" s="76" t="n">
        <x:f>M386-N386</x:f>
        <x:v>-12535.099999999999</x:v>
      </x:c>
      <x:c r="P386" s="71" t="str">
        <x:f>IF(O386&lt;0,"SHORT",IF(O386&lt;K386,"BELOW TARGET","COVERED"))</x:f>
        <x:v>SHORT</x:v>
      </x:c>
      <x:c r="Q386" s="63" t="str">
        <x:f>IF(AND(P386="SHORT",COUNTIFS($E$2:E386,E386,$P$2:P386,"SHORT")=1),B386,"")</x:f>
      </x:c>
    </x:row>
    <x:row r="387" ht="15" customHeight="1">
      <x:c r="A387" s="71" t="str">
        <x:v>SO-26067</x:v>
      </x:c>
      <x:c r="B387" s="75" t="n">
        <x:v>46282</x:v>
      </x:c>
      <x:c r="C387" s="71" t="str">
        <x:v>Normal</x:v>
      </x:c>
      <x:c r="D387" s="71" t="str">
        <x:v>FG-016</x:v>
      </x:c>
      <x:c r="E387" s="71" t="str">
        <x:v>RM-039</x:v>
      </x:c>
      <x:c r="F387" s="71" t="str">
        <x:v>Additive 039</x:v>
      </x:c>
      <x:c r="G387" s="76" t="n">
        <x:v>100</x:v>
      </x:c>
      <x:c r="H387" s="76" t="n">
        <x:v>18.02</x:v>
      </x:c>
      <x:c r="I387" s="76" t="n">
        <x:f>G387*H387</x:f>
        <x:v>1802</x:v>
      </x:c>
      <x:c r="J387" s="76" t="n">
        <x:f>IFERROR(INDEX('Inventory'!$E$2:$E$71,MATCH(E387,'Inventory'!$A$2:$A$71,0)),0)</x:f>
        <x:v>15593</x:v>
      </x:c>
      <x:c r="K387" s="76" t="n">
        <x:f>IFERROR(INDEX('Inventory'!$F$2:$F$71,MATCH(E387,'Inventory'!$A$2:$A$71,0)),0)</x:f>
        <x:v>1243</x:v>
      </x:c>
      <x:c r="L387" s="76" t="n">
        <x:f>SUMIFS('Open_POs'!$D$2:$D$26,'Open_POs'!$B$2:$B$26,E387,'Open_POs'!$E$2:$E$26,"&lt;="&amp;B387)</x:f>
        <x:v>0</x:v>
      </x:c>
      <x:c r="M387" s="76" t="n">
        <x:f>J387+L387</x:f>
        <x:v>15593</x:v>
      </x:c>
      <x:c r="N387" s="76" t="n">
        <x:f>SUMIFS($I$2:I387,$E$2:E387,E387)</x:f>
        <x:v>44369.99999999999</x:v>
      </x:c>
      <x:c r="O387" s="76" t="n">
        <x:f>M387-N387</x:f>
        <x:v>-28776.999999999993</x:v>
      </x:c>
      <x:c r="P387" s="71" t="str">
        <x:f>IF(O387&lt;0,"SHORT",IF(O387&lt;K387,"BELOW TARGET","COVERED"))</x:f>
        <x:v>SHORT</x:v>
      </x:c>
      <x:c r="Q387" s="63" t="str">
        <x:f>IF(AND(P387="SHORT",COUNTIFS($E$2:E387,E387,$P$2:P387,"SHORT")=1),B387,"")</x:f>
      </x:c>
    </x:row>
    <x:row r="388" ht="15" customHeight="1">
      <x:c r="A388" s="71" t="str">
        <x:v>SO-26067</x:v>
      </x:c>
      <x:c r="B388" s="75" t="n">
        <x:v>46282</x:v>
      </x:c>
      <x:c r="C388" s="71" t="str">
        <x:v>Normal</x:v>
      </x:c>
      <x:c r="D388" s="71" t="str">
        <x:v>FG-016</x:v>
      </x:c>
      <x:c r="E388" s="71" t="str">
        <x:v>RM-062</x:v>
      </x:c>
      <x:c r="F388" s="71" t="str">
        <x:v>Pigment 062</x:v>
      </x:c>
      <x:c r="G388" s="76" t="n">
        <x:v>100</x:v>
      </x:c>
      <x:c r="H388" s="76" t="n">
        <x:v>9.6</x:v>
      </x:c>
      <x:c r="I388" s="76" t="n">
        <x:f>G388*H388</x:f>
        <x:v>960</x:v>
      </x:c>
      <x:c r="J388" s="76" t="n">
        <x:f>IFERROR(INDEX('Inventory'!$E$2:$E$71,MATCH(E388,'Inventory'!$A$2:$A$71,0)),0)</x:f>
        <x:v>7110</x:v>
      </x:c>
      <x:c r="K388" s="76" t="n">
        <x:f>IFERROR(INDEX('Inventory'!$F$2:$F$71,MATCH(E388,'Inventory'!$A$2:$A$71,0)),0)</x:f>
        <x:v>1339</x:v>
      </x:c>
      <x:c r="L388" s="76" t="n">
        <x:f>SUMIFS('Open_POs'!$D$2:$D$26,'Open_POs'!$B$2:$B$26,E388,'Open_POs'!$E$2:$E$26,"&lt;="&amp;B388)</x:f>
        <x:v>0</x:v>
      </x:c>
      <x:c r="M388" s="76" t="n">
        <x:f>J388+L388</x:f>
        <x:v>7110</x:v>
      </x:c>
      <x:c r="N388" s="76" t="n">
        <x:f>SUMIFS($I$2:I388,$E$2:E388,E388)</x:f>
        <x:v>4517</x:v>
      </x:c>
      <x:c r="O388" s="76" t="n">
        <x:f>M388-N388</x:f>
        <x:v>2593</x:v>
      </x:c>
      <x:c r="P388" s="71" t="str">
        <x:f>IF(O388&lt;0,"SHORT",IF(O388&lt;K388,"BELOW TARGET","COVERED"))</x:f>
        <x:v>COVERED</x:v>
      </x:c>
      <x:c r="Q388" s="63" t="str">
        <x:f>IF(AND(P388="SHORT",COUNTIFS($E$2:E388,E388,$P$2:P388,"SHORT")=1),B388,"")</x:f>
      </x:c>
    </x:row>
    <x:row r="389" ht="15" customHeight="1">
      <x:c r="A389" s="71" t="str">
        <x:v>SO-26068</x:v>
      </x:c>
      <x:c r="B389" s="75" t="n">
        <x:v>46282</x:v>
      </x:c>
      <x:c r="C389" s="71" t="str">
        <x:v>Normal</x:v>
      </x:c>
      <x:c r="D389" s="71" t="str">
        <x:v>FG-003</x:v>
      </x:c>
      <x:c r="E389" s="71" t="str">
        <x:v>RM-008</x:v>
      </x:c>
      <x:c r="F389" s="71" t="str">
        <x:v>Filler 008</x:v>
      </x:c>
      <x:c r="G389" s="76" t="n">
        <x:v>30</x:v>
      </x:c>
      <x:c r="H389" s="76" t="n">
        <x:v>66.47</x:v>
      </x:c>
      <x:c r="I389" s="76" t="n">
        <x:f>G389*H389</x:f>
        <x:v>1994.1</x:v>
      </x:c>
      <x:c r="J389" s="76" t="n">
        <x:f>IFERROR(INDEX('Inventory'!$E$2:$E$71,MATCH(E389,'Inventory'!$A$2:$A$71,0)),0)</x:f>
        <x:v>430</x:v>
      </x:c>
      <x:c r="K389" s="76" t="n">
        <x:f>IFERROR(INDEX('Inventory'!$F$2:$F$71,MATCH(E389,'Inventory'!$A$2:$A$71,0)),0)</x:f>
        <x:v>1037</x:v>
      </x:c>
      <x:c r="L389" s="76" t="n">
        <x:f>SUMIFS('Open_POs'!$D$2:$D$26,'Open_POs'!$B$2:$B$26,E389,'Open_POs'!$E$2:$E$26,"&lt;="&amp;B389)</x:f>
        <x:v>0</x:v>
      </x:c>
      <x:c r="M389" s="76" t="n">
        <x:f>J389+L389</x:f>
        <x:v>430</x:v>
      </x:c>
      <x:c r="N389" s="76" t="n">
        <x:f>SUMIFS($I$2:I389,$E$2:E389,E389)</x:f>
        <x:v>27778.399999999998</x:v>
      </x:c>
      <x:c r="O389" s="76" t="n">
        <x:f>M389-N389</x:f>
        <x:v>-27348.399999999998</x:v>
      </x:c>
      <x:c r="P389" s="71" t="str">
        <x:f>IF(O389&lt;0,"SHORT",IF(O389&lt;K389,"BELOW TARGET","COVERED"))</x:f>
        <x:v>SHORT</x:v>
      </x:c>
      <x:c r="Q389" s="63" t="str">
        <x:f>IF(AND(P389="SHORT",COUNTIFS($E$2:E389,E389,$P$2:P389,"SHORT")=1),B389,"")</x:f>
      </x:c>
    </x:row>
    <x:row r="390" ht="15" customHeight="1">
      <x:c r="A390" s="71" t="str">
        <x:v>SO-26068</x:v>
      </x:c>
      <x:c r="B390" s="75" t="n">
        <x:v>46282</x:v>
      </x:c>
      <x:c r="C390" s="71" t="str">
        <x:v>Normal</x:v>
      </x:c>
      <x:c r="D390" s="71" t="str">
        <x:v>FG-003</x:v>
      </x:c>
      <x:c r="E390" s="71" t="str">
        <x:v>RM-009</x:v>
      </x:c>
      <x:c r="F390" s="71" t="str">
        <x:v>Additive 009</x:v>
      </x:c>
      <x:c r="G390" s="76" t="n">
        <x:v>30</x:v>
      </x:c>
      <x:c r="H390" s="76" t="n">
        <x:v>23.43</x:v>
      </x:c>
      <x:c r="I390" s="76" t="n">
        <x:f>G390*H390</x:f>
        <x:v>702.9</x:v>
      </x:c>
      <x:c r="J390" s="76" t="n">
        <x:f>IFERROR(INDEX('Inventory'!$E$2:$E$71,MATCH(E390,'Inventory'!$A$2:$A$71,0)),0)</x:f>
        <x:v>13813</x:v>
      </x:c>
      <x:c r="K390" s="76" t="n">
        <x:f>IFERROR(INDEX('Inventory'!$F$2:$F$71,MATCH(E390,'Inventory'!$A$2:$A$71,0)),0)</x:f>
        <x:v>1377</x:v>
      </x:c>
      <x:c r="L390" s="76" t="n">
        <x:f>SUMIFS('Open_POs'!$D$2:$D$26,'Open_POs'!$B$2:$B$26,E390,'Open_POs'!$E$2:$E$26,"&lt;="&amp;B390)</x:f>
        <x:v>0</x:v>
      </x:c>
      <x:c r="M390" s="76" t="n">
        <x:f>J390+L390</x:f>
        <x:v>13813</x:v>
      </x:c>
      <x:c r="N390" s="76" t="n">
        <x:f>SUMIFS($I$2:I390,$E$2:E390,E390)</x:f>
        <x:v>47294.200000000004</x:v>
      </x:c>
      <x:c r="O390" s="76" t="n">
        <x:f>M390-N390</x:f>
        <x:v>-33481.200000000004</x:v>
      </x:c>
      <x:c r="P390" s="71" t="str">
        <x:f>IF(O390&lt;0,"SHORT",IF(O390&lt;K390,"BELOW TARGET","COVERED"))</x:f>
        <x:v>SHORT</x:v>
      </x:c>
      <x:c r="Q390" s="63" t="str">
        <x:f>IF(AND(P390="SHORT",COUNTIFS($E$2:E390,E390,$P$2:P390,"SHORT")=1),B390,"")</x:f>
      </x:c>
    </x:row>
    <x:row r="391" ht="15" customHeight="1">
      <x:c r="A391" s="71" t="str">
        <x:v>SO-26068</x:v>
      </x:c>
      <x:c r="B391" s="75" t="n">
        <x:v>46282</x:v>
      </x:c>
      <x:c r="C391" s="71" t="str">
        <x:v>Normal</x:v>
      </x:c>
      <x:c r="D391" s="71" t="str">
        <x:v>FG-003</x:v>
      </x:c>
      <x:c r="E391" s="71" t="str">
        <x:v>RM-010</x:v>
      </x:c>
      <x:c r="F391" s="71" t="str">
        <x:v>Packaging 010</x:v>
      </x:c>
      <x:c r="G391" s="76" t="n">
        <x:v>30</x:v>
      </x:c>
      <x:c r="H391" s="76" t="n">
        <x:v>62.89</x:v>
      </x:c>
      <x:c r="I391" s="76" t="n">
        <x:f>G391*H391</x:f>
        <x:v>1886.7</x:v>
      </x:c>
      <x:c r="J391" s="76" t="n">
        <x:f>IFERROR(INDEX('Inventory'!$E$2:$E$71,MATCH(E391,'Inventory'!$A$2:$A$71,0)),0)</x:f>
        <x:v>14191</x:v>
      </x:c>
      <x:c r="K391" s="76" t="n">
        <x:f>IFERROR(INDEX('Inventory'!$F$2:$F$71,MATCH(E391,'Inventory'!$A$2:$A$71,0)),0)</x:f>
        <x:v>615</x:v>
      </x:c>
      <x:c r="L391" s="76" t="n">
        <x:f>SUMIFS('Open_POs'!$D$2:$D$26,'Open_POs'!$B$2:$B$26,E391,'Open_POs'!$E$2:$E$26,"&lt;="&amp;B391)</x:f>
        <x:v>0</x:v>
      </x:c>
      <x:c r="M391" s="76" t="n">
        <x:f>J391+L391</x:f>
        <x:v>14191</x:v>
      </x:c>
      <x:c r="N391" s="76" t="n">
        <x:f>SUMIFS($I$2:I391,$E$2:E391,E391)</x:f>
        <x:v>54059.4</x:v>
      </x:c>
      <x:c r="O391" s="76" t="n">
        <x:f>M391-N391</x:f>
        <x:v>-39868.4</x:v>
      </x:c>
      <x:c r="P391" s="71" t="str">
        <x:f>IF(O391&lt;0,"SHORT",IF(O391&lt;K391,"BELOW TARGET","COVERED"))</x:f>
        <x:v>SHORT</x:v>
      </x:c>
      <x:c r="Q391" s="63" t="str">
        <x:f>IF(AND(P391="SHORT",COUNTIFS($E$2:E391,E391,$P$2:P391,"SHORT")=1),B391,"")</x:f>
      </x:c>
    </x:row>
    <x:row r="392" ht="15" customHeight="1">
      <x:c r="A392" s="71" t="str">
        <x:v>SO-26068</x:v>
      </x:c>
      <x:c r="B392" s="75" t="n">
        <x:v>46282</x:v>
      </x:c>
      <x:c r="C392" s="71" t="str">
        <x:v>Normal</x:v>
      </x:c>
      <x:c r="D392" s="71" t="str">
        <x:v>FG-003</x:v>
      </x:c>
      <x:c r="E392" s="71" t="str">
        <x:v>RM-011</x:v>
      </x:c>
      <x:c r="F392" s="71" t="str">
        <x:v>Resin 011</x:v>
      </x:c>
      <x:c r="G392" s="76" t="n">
        <x:v>30</x:v>
      </x:c>
      <x:c r="H392" s="76" t="n">
        <x:v>35.21</x:v>
      </x:c>
      <x:c r="I392" s="76" t="n">
        <x:f>G392*H392</x:f>
        <x:v>1056.3</x:v>
      </x:c>
      <x:c r="J392" s="76" t="n">
        <x:f>IFERROR(INDEX('Inventory'!$E$2:$E$71,MATCH(E392,'Inventory'!$A$2:$A$71,0)),0)</x:f>
        <x:v>16410</x:v>
      </x:c>
      <x:c r="K392" s="76" t="n">
        <x:f>IFERROR(INDEX('Inventory'!$F$2:$F$71,MATCH(E392,'Inventory'!$A$2:$A$71,0)),0)</x:f>
        <x:v>1275</x:v>
      </x:c>
      <x:c r="L392" s="76" t="n">
        <x:f>SUMIFS('Open_POs'!$D$2:$D$26,'Open_POs'!$B$2:$B$26,E392,'Open_POs'!$E$2:$E$26,"&lt;="&amp;B392)</x:f>
        <x:v>0</x:v>
      </x:c>
      <x:c r="M392" s="76" t="n">
        <x:f>J392+L392</x:f>
        <x:v>16410</x:v>
      </x:c>
      <x:c r="N392" s="76" t="n">
        <x:f>SUMIFS($I$2:I392,$E$2:E392,E392)</x:f>
        <x:v>24913.5</x:v>
      </x:c>
      <x:c r="O392" s="76" t="n">
        <x:f>M392-N392</x:f>
        <x:v>-8503.5</x:v>
      </x:c>
      <x:c r="P392" s="71" t="str">
        <x:f>IF(O392&lt;0,"SHORT",IF(O392&lt;K392,"BELOW TARGET","COVERED"))</x:f>
        <x:v>SHORT</x:v>
      </x:c>
      <x:c r="Q392" s="63" t="str">
        <x:f>IF(AND(P392="SHORT",COUNTIFS($E$2:E392,E392,$P$2:P392,"SHORT")=1),B392,"")</x:f>
      </x:c>
    </x:row>
    <x:row r="393" ht="15" customHeight="1">
      <x:c r="A393" s="71" t="str">
        <x:v>SO-26068</x:v>
      </x:c>
      <x:c r="B393" s="75" t="n">
        <x:v>46282</x:v>
      </x:c>
      <x:c r="C393" s="71" t="str">
        <x:v>Normal</x:v>
      </x:c>
      <x:c r="D393" s="71" t="str">
        <x:v>FG-003</x:v>
      </x:c>
      <x:c r="E393" s="71" t="str">
        <x:v>RM-022</x:v>
      </x:c>
      <x:c r="F393" s="71" t="str">
        <x:v>Pigment 022</x:v>
      </x:c>
      <x:c r="G393" s="76" t="n">
        <x:v>30</x:v>
      </x:c>
      <x:c r="H393" s="76" t="n">
        <x:v>56.17</x:v>
      </x:c>
      <x:c r="I393" s="76" t="n">
        <x:f>G393*H393</x:f>
        <x:v>1685.1000000000001</x:v>
      </x:c>
      <x:c r="J393" s="76" t="n">
        <x:f>IFERROR(INDEX('Inventory'!$E$2:$E$71,MATCH(E393,'Inventory'!$A$2:$A$71,0)),0)</x:f>
        <x:v>12228</x:v>
      </x:c>
      <x:c r="K393" s="76" t="n">
        <x:f>IFERROR(INDEX('Inventory'!$F$2:$F$71,MATCH(E393,'Inventory'!$A$2:$A$71,0)),0)</x:f>
        <x:v>411</x:v>
      </x:c>
      <x:c r="L393" s="76" t="n">
        <x:f>SUMIFS('Open_POs'!$D$2:$D$26,'Open_POs'!$B$2:$B$26,E393,'Open_POs'!$E$2:$E$26,"&lt;="&amp;B393)</x:f>
        <x:v>0</x:v>
      </x:c>
      <x:c r="M393" s="76" t="n">
        <x:f>J393+L393</x:f>
        <x:v>12228</x:v>
      </x:c>
      <x:c r="N393" s="76" t="n">
        <x:f>SUMIFS($I$2:I393,$E$2:E393,E393)</x:f>
        <x:v>2808.5</x:v>
      </x:c>
      <x:c r="O393" s="76" t="n">
        <x:f>M393-N393</x:f>
        <x:v>9419.5</x:v>
      </x:c>
      <x:c r="P393" s="71" t="str">
        <x:f>IF(O393&lt;0,"SHORT",IF(O393&lt;K393,"BELOW TARGET","COVERED"))</x:f>
        <x:v>COVERED</x:v>
      </x:c>
      <x:c r="Q393" s="63" t="str">
        <x:f>IF(AND(P393="SHORT",COUNTIFS($E$2:E393,E393,$P$2:P393,"SHORT")=1),B393,"")</x:f>
      </x:c>
    </x:row>
    <x:row r="394" ht="15" customHeight="1">
      <x:c r="A394" s="71" t="str">
        <x:v>SO-26068</x:v>
      </x:c>
      <x:c r="B394" s="75" t="n">
        <x:v>46282</x:v>
      </x:c>
      <x:c r="C394" s="71" t="str">
        <x:v>Normal</x:v>
      </x:c>
      <x:c r="D394" s="71" t="str">
        <x:v>FG-003</x:v>
      </x:c>
      <x:c r="E394" s="71" t="str">
        <x:v>RM-025</x:v>
      </x:c>
      <x:c r="F394" s="71" t="str">
        <x:v>Packaging 025</x:v>
      </x:c>
      <x:c r="G394" s="76" t="n">
        <x:v>30</x:v>
      </x:c>
      <x:c r="H394" s="76" t="n">
        <x:v>72.69</x:v>
      </x:c>
      <x:c r="I394" s="76" t="n">
        <x:f>G394*H394</x:f>
        <x:v>2180.7</x:v>
      </x:c>
      <x:c r="J394" s="76" t="n">
        <x:f>IFERROR(INDEX('Inventory'!$E$2:$E$71,MATCH(E394,'Inventory'!$A$2:$A$71,0)),0)</x:f>
        <x:v>2469</x:v>
      </x:c>
      <x:c r="K394" s="76" t="n">
        <x:f>IFERROR(INDEX('Inventory'!$F$2:$F$71,MATCH(E394,'Inventory'!$A$2:$A$71,0)),0)</x:f>
        <x:v>229</x:v>
      </x:c>
      <x:c r="L394" s="76" t="n">
        <x:f>SUMIFS('Open_POs'!$D$2:$D$26,'Open_POs'!$B$2:$B$26,E394,'Open_POs'!$E$2:$E$26,"&lt;="&amp;B394)</x:f>
        <x:v>10000</x:v>
      </x:c>
      <x:c r="M394" s="76" t="n">
        <x:f>J394+L394</x:f>
        <x:v>12469</x:v>
      </x:c>
      <x:c r="N394" s="76" t="n">
        <x:f>SUMIFS($I$2:I394,$E$2:E394,E394)</x:f>
        <x:v>34197.09999999999</x:v>
      </x:c>
      <x:c r="O394" s="76" t="n">
        <x:f>M394-N394</x:f>
        <x:v>-21728.09999999999</x:v>
      </x:c>
      <x:c r="P394" s="71" t="str">
        <x:f>IF(O394&lt;0,"SHORT",IF(O394&lt;K394,"BELOW TARGET","COVERED"))</x:f>
        <x:v>SHORT</x:v>
      </x:c>
      <x:c r="Q394" s="63" t="str">
        <x:f>IF(AND(P394="SHORT",COUNTIFS($E$2:E394,E394,$P$2:P394,"SHORT")=1),B394,"")</x:f>
      </x:c>
    </x:row>
    <x:row r="395" ht="15" customHeight="1">
      <x:c r="A395" s="71" t="str">
        <x:v>SO-26068</x:v>
      </x:c>
      <x:c r="B395" s="75" t="n">
        <x:v>46282</x:v>
      </x:c>
      <x:c r="C395" s="71" t="str">
        <x:v>Normal</x:v>
      </x:c>
      <x:c r="D395" s="71" t="str">
        <x:v>FG-003</x:v>
      </x:c>
      <x:c r="E395" s="71" t="str">
        <x:v>RM-047</x:v>
      </x:c>
      <x:c r="F395" s="71" t="str">
        <x:v>Pigment 047</x:v>
      </x:c>
      <x:c r="G395" s="76" t="n">
        <x:v>30</x:v>
      </x:c>
      <x:c r="H395" s="76" t="n">
        <x:v>37.94</x:v>
      </x:c>
      <x:c r="I395" s="76" t="n">
        <x:f>G395*H395</x:f>
        <x:v>1138.1999999999998</x:v>
      </x:c>
      <x:c r="J395" s="76" t="n">
        <x:f>IFERROR(INDEX('Inventory'!$E$2:$E$71,MATCH(E395,'Inventory'!$A$2:$A$71,0)),0)</x:f>
        <x:v>4384</x:v>
      </x:c>
      <x:c r="K395" s="76" t="n">
        <x:f>IFERROR(INDEX('Inventory'!$F$2:$F$71,MATCH(E395,'Inventory'!$A$2:$A$71,0)),0)</x:f>
        <x:v>1229</x:v>
      </x:c>
      <x:c r="L395" s="76" t="n">
        <x:f>SUMIFS('Open_POs'!$D$2:$D$26,'Open_POs'!$B$2:$B$26,E395,'Open_POs'!$E$2:$E$26,"&lt;="&amp;B395)</x:f>
        <x:v>0</x:v>
      </x:c>
      <x:c r="M395" s="76" t="n">
        <x:f>J395+L395</x:f>
        <x:v>4384</x:v>
      </x:c>
      <x:c r="N395" s="76" t="n">
        <x:f>SUMIFS($I$2:I395,$E$2:E395,E395)</x:f>
        <x:v>1896.9999999999998</x:v>
      </x:c>
      <x:c r="O395" s="76" t="n">
        <x:f>M395-N395</x:f>
        <x:v>2487</x:v>
      </x:c>
      <x:c r="P395" s="71" t="str">
        <x:f>IF(O395&lt;0,"SHORT",IF(O395&lt;K395,"BELOW TARGET","COVERED"))</x:f>
        <x:v>COVERED</x:v>
      </x:c>
      <x:c r="Q395" s="63" t="str">
        <x:f>IF(AND(P395="SHORT",COUNTIFS($E$2:E395,E395,$P$2:P395,"SHORT")=1),B395,"")</x:f>
      </x:c>
    </x:row>
    <x:row r="396" ht="15" customHeight="1">
      <x:c r="A396" s="71" t="str">
        <x:v>SO-26068</x:v>
      </x:c>
      <x:c r="B396" s="75" t="n">
        <x:v>46282</x:v>
      </x:c>
      <x:c r="C396" s="71" t="str">
        <x:v>Normal</x:v>
      </x:c>
      <x:c r="D396" s="71" t="str">
        <x:v>FG-003</x:v>
      </x:c>
      <x:c r="E396" s="71" t="str">
        <x:v>RM-066</x:v>
      </x:c>
      <x:c r="F396" s="71" t="str">
        <x:v>Resin 066</x:v>
      </x:c>
      <x:c r="G396" s="76" t="n">
        <x:v>30</x:v>
      </x:c>
      <x:c r="H396" s="76" t="n">
        <x:v>36.29</x:v>
      </x:c>
      <x:c r="I396" s="76" t="n">
        <x:f>G396*H396</x:f>
        <x:v>1088.7</x:v>
      </x:c>
      <x:c r="J396" s="76" t="n">
        <x:f>IFERROR(INDEX('Inventory'!$E$2:$E$71,MATCH(E396,'Inventory'!$A$2:$A$71,0)),0)</x:f>
        <x:v>10876</x:v>
      </x:c>
      <x:c r="K396" s="76" t="n">
        <x:f>IFERROR(INDEX('Inventory'!$F$2:$F$71,MATCH(E396,'Inventory'!$A$2:$A$71,0)),0)</x:f>
        <x:v>567</x:v>
      </x:c>
      <x:c r="L396" s="76" t="n">
        <x:f>SUMIFS('Open_POs'!$D$2:$D$26,'Open_POs'!$B$2:$B$26,E396,'Open_POs'!$E$2:$E$26,"&lt;="&amp;B396)</x:f>
        <x:v>0</x:v>
      </x:c>
      <x:c r="M396" s="76" t="n">
        <x:f>J396+L396</x:f>
        <x:v>10876</x:v>
      </x:c>
      <x:c r="N396" s="76" t="n">
        <x:f>SUMIFS($I$2:I396,$E$2:E396,E396)</x:f>
        <x:v>11076.1</x:v>
      </x:c>
      <x:c r="O396" s="76" t="n">
        <x:f>M396-N396</x:f>
        <x:v>-200.10000000000036</x:v>
      </x:c>
      <x:c r="P396" s="71" t="str">
        <x:f>IF(O396&lt;0,"SHORT",IF(O396&lt;K396,"BELOW TARGET","COVERED"))</x:f>
        <x:v>SHORT</x:v>
      </x:c>
      <x:c r="Q396" s="63" t="n">
        <x:f>IF(AND(P396="SHORT",COUNTIFS($E$2:E396,E396,$P$2:P396,"SHORT")=1),B396,"")</x:f>
        <x:v>46282</x:v>
      </x:c>
    </x:row>
    <x:row r="397" ht="15" customHeight="1">
      <x:c r="A397" s="71" t="str">
        <x:v>SO-26044</x:v>
      </x:c>
      <x:c r="B397" s="75" t="n">
        <x:v>46283</x:v>
      </x:c>
      <x:c r="C397" s="71" t="str">
        <x:v>High</x:v>
      </x:c>
      <x:c r="D397" s="71" t="str">
        <x:v>FG-024</x:v>
      </x:c>
      <x:c r="E397" s="71" t="str">
        <x:v>RM-006</x:v>
      </x:c>
      <x:c r="F397" s="71" t="str">
        <x:v>Resin 006</x:v>
      </x:c>
      <x:c r="G397" s="76" t="n">
        <x:v>10</x:v>
      </x:c>
      <x:c r="H397" s="76" t="n">
        <x:v>55.55</x:v>
      </x:c>
      <x:c r="I397" s="76" t="n">
        <x:f>G397*H397</x:f>
        <x:v>555.5</x:v>
      </x:c>
      <x:c r="J397" s="76" t="n">
        <x:f>IFERROR(INDEX('Inventory'!$E$2:$E$71,MATCH(E397,'Inventory'!$A$2:$A$71,0)),0)</x:f>
        <x:v>1295</x:v>
      </x:c>
      <x:c r="K397" s="76" t="n">
        <x:f>IFERROR(INDEX('Inventory'!$F$2:$F$71,MATCH(E397,'Inventory'!$A$2:$A$71,0)),0)</x:f>
        <x:v>599</x:v>
      </x:c>
      <x:c r="L397" s="76" t="n">
        <x:f>SUMIFS('Open_POs'!$D$2:$D$26,'Open_POs'!$B$2:$B$26,E397,'Open_POs'!$E$2:$E$26,"&lt;="&amp;B397)</x:f>
        <x:v>0</x:v>
      </x:c>
      <x:c r="M397" s="76" t="n">
        <x:f>J397+L397</x:f>
        <x:v>1295</x:v>
      </x:c>
      <x:c r="N397" s="76" t="n">
        <x:f>SUMIFS($I$2:I397,$E$2:E397,E397)</x:f>
        <x:v>3656.6000000000004</x:v>
      </x:c>
      <x:c r="O397" s="76" t="n">
        <x:f>M397-N397</x:f>
        <x:v>-2361.6000000000004</x:v>
      </x:c>
      <x:c r="P397" s="71" t="str">
        <x:f>IF(O397&lt;0,"SHORT",IF(O397&lt;K397,"BELOW TARGET","COVERED"))</x:f>
        <x:v>SHORT</x:v>
      </x:c>
      <x:c r="Q397" s="63" t="str">
        <x:f>IF(AND(P397="SHORT",COUNTIFS($E$2:E397,E397,$P$2:P397,"SHORT")=1),B397,"")</x:f>
      </x:c>
    </x:row>
    <x:row r="398" ht="15" customHeight="1">
      <x:c r="A398" s="71" t="str">
        <x:v>SO-26044</x:v>
      </x:c>
      <x:c r="B398" s="75" t="n">
        <x:v>46283</x:v>
      </x:c>
      <x:c r="C398" s="71" t="str">
        <x:v>High</x:v>
      </x:c>
      <x:c r="D398" s="71" t="str">
        <x:v>FG-024</x:v>
      </x:c>
      <x:c r="E398" s="71" t="str">
        <x:v>RM-013</x:v>
      </x:c>
      <x:c r="F398" s="71" t="str">
        <x:v>Filler 013</x:v>
      </x:c>
      <x:c r="G398" s="76" t="n">
        <x:v>10</x:v>
      </x:c>
      <x:c r="H398" s="76" t="n">
        <x:v>49.92</x:v>
      </x:c>
      <x:c r="I398" s="76" t="n">
        <x:f>G398*H398</x:f>
        <x:v>499.20000000000005</x:v>
      </x:c>
      <x:c r="J398" s="76" t="n">
        <x:f>IFERROR(INDEX('Inventory'!$E$2:$E$71,MATCH(E398,'Inventory'!$A$2:$A$71,0)),0)</x:f>
        <x:v>16230</x:v>
      </x:c>
      <x:c r="K398" s="76" t="n">
        <x:f>IFERROR(INDEX('Inventory'!$F$2:$F$71,MATCH(E398,'Inventory'!$A$2:$A$71,0)),0)</x:f>
        <x:v>1037</x:v>
      </x:c>
      <x:c r="L398" s="76" t="n">
        <x:f>SUMIFS('Open_POs'!$D$2:$D$26,'Open_POs'!$B$2:$B$26,E398,'Open_POs'!$E$2:$E$26,"&lt;="&amp;B398)</x:f>
        <x:v>0</x:v>
      </x:c>
      <x:c r="M398" s="76" t="n">
        <x:f>J398+L398</x:f>
        <x:v>16230</x:v>
      </x:c>
      <x:c r="N398" s="76" t="n">
        <x:f>SUMIFS($I$2:I398,$E$2:E398,E398)</x:f>
        <x:v>9344.600000000002</x:v>
      </x:c>
      <x:c r="O398" s="76" t="n">
        <x:f>M398-N398</x:f>
        <x:v>6885.399999999998</x:v>
      </x:c>
      <x:c r="P398" s="71" t="str">
        <x:f>IF(O398&lt;0,"SHORT",IF(O398&lt;K398,"BELOW TARGET","COVERED"))</x:f>
        <x:v>COVERED</x:v>
      </x:c>
      <x:c r="Q398" s="63" t="str">
        <x:f>IF(AND(P398="SHORT",COUNTIFS($E$2:E398,E398,$P$2:P398,"SHORT")=1),B398,"")</x:f>
      </x:c>
    </x:row>
    <x:row r="399" ht="15" customHeight="1">
      <x:c r="A399" s="71" t="str">
        <x:v>SO-26044</x:v>
      </x:c>
      <x:c r="B399" s="75" t="n">
        <x:v>46283</x:v>
      </x:c>
      <x:c r="C399" s="71" t="str">
        <x:v>High</x:v>
      </x:c>
      <x:c r="D399" s="71" t="str">
        <x:v>FG-024</x:v>
      </x:c>
      <x:c r="E399" s="71" t="str">
        <x:v>RM-037</x:v>
      </x:c>
      <x:c r="F399" s="71" t="str">
        <x:v>Pigment 037</x:v>
      </x:c>
      <x:c r="G399" s="76" t="n">
        <x:v>10</x:v>
      </x:c>
      <x:c r="H399" s="76" t="n">
        <x:v>64.55</x:v>
      </x:c>
      <x:c r="I399" s="76" t="n">
        <x:f>G399*H399</x:f>
        <x:v>645.5</x:v>
      </x:c>
      <x:c r="J399" s="76" t="n">
        <x:f>IFERROR(INDEX('Inventory'!$E$2:$E$71,MATCH(E399,'Inventory'!$A$2:$A$71,0)),0)</x:f>
        <x:v>14210</x:v>
      </x:c>
      <x:c r="K399" s="76" t="n">
        <x:f>IFERROR(INDEX('Inventory'!$F$2:$F$71,MATCH(E399,'Inventory'!$A$2:$A$71,0)),0)</x:f>
        <x:v>850</x:v>
      </x:c>
      <x:c r="L399" s="76" t="n">
        <x:f>SUMIFS('Open_POs'!$D$2:$D$26,'Open_POs'!$B$2:$B$26,E399,'Open_POs'!$E$2:$E$26,"&lt;="&amp;B399)</x:f>
        <x:v>2500</x:v>
      </x:c>
      <x:c r="M399" s="76" t="n">
        <x:f>J399+L399</x:f>
        <x:v>16710</x:v>
      </x:c>
      <x:c r="N399" s="76" t="n">
        <x:f>SUMIFS($I$2:I399,$E$2:E399,E399)</x:f>
        <x:v>16597.799999999996</x:v>
      </x:c>
      <x:c r="O399" s="76" t="n">
        <x:f>M399-N399</x:f>
        <x:v>112.20000000000437</x:v>
      </x:c>
      <x:c r="P399" s="71" t="str">
        <x:f>IF(O399&lt;0,"SHORT",IF(O399&lt;K399,"BELOW TARGET","COVERED"))</x:f>
        <x:v>BELOW TARGET</x:v>
      </x:c>
      <x:c r="Q399" s="63" t="str">
        <x:f>IF(AND(P399="SHORT",COUNTIFS($E$2:E399,E399,$P$2:P399,"SHORT")=1),B399,"")</x:f>
      </x:c>
    </x:row>
    <x:row r="400" ht="15" customHeight="1">
      <x:c r="A400" s="71" t="str">
        <x:v>SO-26044</x:v>
      </x:c>
      <x:c r="B400" s="75" t="n">
        <x:v>46283</x:v>
      </x:c>
      <x:c r="C400" s="71" t="str">
        <x:v>High</x:v>
      </x:c>
      <x:c r="D400" s="71" t="str">
        <x:v>FG-024</x:v>
      </x:c>
      <x:c r="E400" s="71" t="str">
        <x:v>RM-044</x:v>
      </x:c>
      <x:c r="F400" s="71" t="str">
        <x:v>Additive 044</x:v>
      </x:c>
      <x:c r="G400" s="76" t="n">
        <x:v>10</x:v>
      </x:c>
      <x:c r="H400" s="76" t="n">
        <x:v>92.32</x:v>
      </x:c>
      <x:c r="I400" s="76" t="n">
        <x:f>G400*H400</x:f>
        <x:v>923.1999999999999</x:v>
      </x:c>
      <x:c r="J400" s="76" t="n">
        <x:f>IFERROR(INDEX('Inventory'!$E$2:$E$71,MATCH(E400,'Inventory'!$A$2:$A$71,0)),0)</x:f>
        <x:v>10361</x:v>
      </x:c>
      <x:c r="K400" s="76" t="n">
        <x:f>IFERROR(INDEX('Inventory'!$F$2:$F$71,MATCH(E400,'Inventory'!$A$2:$A$71,0)),0)</x:f>
        <x:v>571</x:v>
      </x:c>
      <x:c r="L400" s="76" t="n">
        <x:f>SUMIFS('Open_POs'!$D$2:$D$26,'Open_POs'!$B$2:$B$26,E400,'Open_POs'!$E$2:$E$26,"&lt;="&amp;B400)</x:f>
        <x:v>0</x:v>
      </x:c>
      <x:c r="M400" s="76" t="n">
        <x:f>J400+L400</x:f>
        <x:v>10361</x:v>
      </x:c>
      <x:c r="N400" s="76" t="n">
        <x:f>SUMIFS($I$2:I400,$E$2:E400,E400)</x:f>
        <x:v>20103.8</x:v>
      </x:c>
      <x:c r="O400" s="76" t="n">
        <x:f>M400-N400</x:f>
        <x:v>-9742.8</x:v>
      </x:c>
      <x:c r="P400" s="71" t="str">
        <x:f>IF(O400&lt;0,"SHORT",IF(O400&lt;K400,"BELOW TARGET","COVERED"))</x:f>
        <x:v>SHORT</x:v>
      </x:c>
      <x:c r="Q400" s="63" t="str">
        <x:f>IF(AND(P400="SHORT",COUNTIFS($E$2:E400,E400,$P$2:P400,"SHORT")=1),B400,"")</x:f>
      </x:c>
    </x:row>
    <x:row r="401" ht="15" customHeight="1">
      <x:c r="A401" s="71" t="str">
        <x:v>SO-26044</x:v>
      </x:c>
      <x:c r="B401" s="75" t="n">
        <x:v>46283</x:v>
      </x:c>
      <x:c r="C401" s="71" t="str">
        <x:v>High</x:v>
      </x:c>
      <x:c r="D401" s="71" t="str">
        <x:v>FG-024</x:v>
      </x:c>
      <x:c r="E401" s="71" t="str">
        <x:v>RM-058</x:v>
      </x:c>
      <x:c r="F401" s="71" t="str">
        <x:v>Filler 058</x:v>
      </x:c>
      <x:c r="G401" s="76" t="n">
        <x:v>10</x:v>
      </x:c>
      <x:c r="H401" s="76" t="n">
        <x:v>54.64</x:v>
      </x:c>
      <x:c r="I401" s="76" t="n">
        <x:f>G401*H401</x:f>
        <x:v>546.4</x:v>
      </x:c>
      <x:c r="J401" s="76" t="n">
        <x:f>IFERROR(INDEX('Inventory'!$E$2:$E$71,MATCH(E401,'Inventory'!$A$2:$A$71,0)),0)</x:f>
        <x:v>9929</x:v>
      </x:c>
      <x:c r="K401" s="76" t="n">
        <x:f>IFERROR(INDEX('Inventory'!$F$2:$F$71,MATCH(E401,'Inventory'!$A$2:$A$71,0)),0)</x:f>
        <x:v>701</x:v>
      </x:c>
      <x:c r="L401" s="76" t="n">
        <x:f>SUMIFS('Open_POs'!$D$2:$D$26,'Open_POs'!$B$2:$B$26,E401,'Open_POs'!$E$2:$E$26,"&lt;="&amp;B401)</x:f>
        <x:v>0</x:v>
      </x:c>
      <x:c r="M401" s="76" t="n">
        <x:f>J401+L401</x:f>
        <x:v>9929</x:v>
      </x:c>
      <x:c r="N401" s="76" t="n">
        <x:f>SUMIFS($I$2:I401,$E$2:E401,E401)</x:f>
        <x:v>59266.100000000006</x:v>
      </x:c>
      <x:c r="O401" s="76" t="n">
        <x:f>M401-N401</x:f>
        <x:v>-49337.100000000006</x:v>
      </x:c>
      <x:c r="P401" s="71" t="str">
        <x:f>IF(O401&lt;0,"SHORT",IF(O401&lt;K401,"BELOW TARGET","COVERED"))</x:f>
        <x:v>SHORT</x:v>
      </x:c>
      <x:c r="Q401" s="63" t="str">
        <x:f>IF(AND(P401="SHORT",COUNTIFS($E$2:E401,E401,$P$2:P401,"SHORT")=1),B401,"")</x:f>
      </x:c>
    </x:row>
    <x:row r="402" ht="15" customHeight="1">
      <x:c r="A402" s="71" t="str">
        <x:v>SO-26044</x:v>
      </x:c>
      <x:c r="B402" s="75" t="n">
        <x:v>46283</x:v>
      </x:c>
      <x:c r="C402" s="71" t="str">
        <x:v>High</x:v>
      </x:c>
      <x:c r="D402" s="71" t="str">
        <x:v>FG-024</x:v>
      </x:c>
      <x:c r="E402" s="71" t="str">
        <x:v>RM-063</x:v>
      </x:c>
      <x:c r="F402" s="71" t="str">
        <x:v>Filler 063</x:v>
      </x:c>
      <x:c r="G402" s="76" t="n">
        <x:v>10</x:v>
      </x:c>
      <x:c r="H402" s="76" t="n">
        <x:v>116.22</x:v>
      </x:c>
      <x:c r="I402" s="76" t="n">
        <x:f>G402*H402</x:f>
        <x:v>1162.2</x:v>
      </x:c>
      <x:c r="J402" s="76" t="n">
        <x:f>IFERROR(INDEX('Inventory'!$E$2:$E$71,MATCH(E402,'Inventory'!$A$2:$A$71,0)),0)</x:f>
        <x:v>7508</x:v>
      </x:c>
      <x:c r="K402" s="76" t="n">
        <x:f>IFERROR(INDEX('Inventory'!$F$2:$F$71,MATCH(E402,'Inventory'!$A$2:$A$71,0)),0)</x:f>
        <x:v>1090</x:v>
      </x:c>
      <x:c r="L402" s="76" t="n">
        <x:f>SUMIFS('Open_POs'!$D$2:$D$26,'Open_POs'!$B$2:$B$26,E402,'Open_POs'!$E$2:$E$26,"&lt;="&amp;B402)</x:f>
        <x:v>5000</x:v>
      </x:c>
      <x:c r="M402" s="76" t="n">
        <x:f>J402+L402</x:f>
        <x:v>12508</x:v>
      </x:c>
      <x:c r="N402" s="76" t="n">
        <x:f>SUMIFS($I$2:I402,$E$2:E402,E402)</x:f>
        <x:v>54950.6</x:v>
      </x:c>
      <x:c r="O402" s="76" t="n">
        <x:f>M402-N402</x:f>
        <x:v>-42442.6</x:v>
      </x:c>
      <x:c r="P402" s="71" t="str">
        <x:f>IF(O402&lt;0,"SHORT",IF(O402&lt;K402,"BELOW TARGET","COVERED"))</x:f>
        <x:v>SHORT</x:v>
      </x:c>
      <x:c r="Q402" s="63" t="str">
        <x:f>IF(AND(P402="SHORT",COUNTIFS($E$2:E402,E402,$P$2:P402,"SHORT")=1),B402,"")</x:f>
      </x:c>
    </x:row>
    <x:row r="403" ht="15" customHeight="1">
      <x:c r="A403" s="71" t="str">
        <x:v>SO-26051</x:v>
      </x:c>
      <x:c r="B403" s="75" t="n">
        <x:v>46283</x:v>
      </x:c>
      <x:c r="C403" s="71" t="str">
        <x:v>High</x:v>
      </x:c>
      <x:c r="D403" s="71" t="str">
        <x:v>FG-006</x:v>
      </x:c>
      <x:c r="E403" s="71" t="str">
        <x:v>RM-021</x:v>
      </x:c>
      <x:c r="F403" s="71" t="str">
        <x:v>Resin 021</x:v>
      </x:c>
      <x:c r="G403" s="76" t="n">
        <x:v>100</x:v>
      </x:c>
      <x:c r="H403" s="76" t="n">
        <x:v>47.4</x:v>
      </x:c>
      <x:c r="I403" s="76" t="n">
        <x:f>G403*H403</x:f>
        <x:v>4740</x:v>
      </x:c>
      <x:c r="J403" s="76" t="n">
        <x:f>IFERROR(INDEX('Inventory'!$E$2:$E$71,MATCH(E403,'Inventory'!$A$2:$A$71,0)),0)</x:f>
        <x:v>8041</x:v>
      </x:c>
      <x:c r="K403" s="76" t="n">
        <x:f>IFERROR(INDEX('Inventory'!$F$2:$F$71,MATCH(E403,'Inventory'!$A$2:$A$71,0)),0)</x:f>
        <x:v>264</x:v>
      </x:c>
      <x:c r="L403" s="76" t="n">
        <x:f>SUMIFS('Open_POs'!$D$2:$D$26,'Open_POs'!$B$2:$B$26,E403,'Open_POs'!$E$2:$E$26,"&lt;="&amp;B403)</x:f>
        <x:v>0</x:v>
      </x:c>
      <x:c r="M403" s="76" t="n">
        <x:f>J403+L403</x:f>
        <x:v>8041</x:v>
      </x:c>
      <x:c r="N403" s="76" t="n">
        <x:f>SUMIFS($I$2:I403,$E$2:E403,E403)</x:f>
        <x:v>16530.6</x:v>
      </x:c>
      <x:c r="O403" s="76" t="n">
        <x:f>M403-N403</x:f>
        <x:v>-8489.599999999999</x:v>
      </x:c>
      <x:c r="P403" s="71" t="str">
        <x:f>IF(O403&lt;0,"SHORT",IF(O403&lt;K403,"BELOW TARGET","COVERED"))</x:f>
        <x:v>SHORT</x:v>
      </x:c>
      <x:c r="Q403" s="63" t="str">
        <x:f>IF(AND(P403="SHORT",COUNTIFS($E$2:E403,E403,$P$2:P403,"SHORT")=1),B403,"")</x:f>
      </x:c>
    </x:row>
    <x:row r="404" ht="15" customHeight="1">
      <x:c r="A404" s="71" t="str">
        <x:v>SO-26051</x:v>
      </x:c>
      <x:c r="B404" s="75" t="n">
        <x:v>46283</x:v>
      </x:c>
      <x:c r="C404" s="71" t="str">
        <x:v>High</x:v>
      </x:c>
      <x:c r="D404" s="71" t="str">
        <x:v>FG-006</x:v>
      </x:c>
      <x:c r="E404" s="71" t="str">
        <x:v>RM-027</x:v>
      </x:c>
      <x:c r="F404" s="71" t="str">
        <x:v>Pigment 027</x:v>
      </x:c>
      <x:c r="G404" s="76" t="n">
        <x:v>100</x:v>
      </x:c>
      <x:c r="H404" s="76" t="n">
        <x:v>47.98</x:v>
      </x:c>
      <x:c r="I404" s="76" t="n">
        <x:f>G404*H404</x:f>
        <x:v>4798</x:v>
      </x:c>
      <x:c r="J404" s="76" t="n">
        <x:f>IFERROR(INDEX('Inventory'!$E$2:$E$71,MATCH(E404,'Inventory'!$A$2:$A$71,0)),0)</x:f>
        <x:v>5600</x:v>
      </x:c>
      <x:c r="K404" s="76" t="n">
        <x:f>IFERROR(INDEX('Inventory'!$F$2:$F$71,MATCH(E404,'Inventory'!$A$2:$A$71,0)),0)</x:f>
        <x:v>267</x:v>
      </x:c>
      <x:c r="L404" s="76" t="n">
        <x:f>SUMIFS('Open_POs'!$D$2:$D$26,'Open_POs'!$B$2:$B$26,E404,'Open_POs'!$E$2:$E$26,"&lt;="&amp;B404)</x:f>
        <x:v>0</x:v>
      </x:c>
      <x:c r="M404" s="76" t="n">
        <x:f>J404+L404</x:f>
        <x:v>5600</x:v>
      </x:c>
      <x:c r="N404" s="76" t="n">
        <x:f>SUMIFS($I$2:I404,$E$2:E404,E404)</x:f>
        <x:v>17020.1</x:v>
      </x:c>
      <x:c r="O404" s="76" t="n">
        <x:f>M404-N404</x:f>
        <x:v>-11420.099999999999</x:v>
      </x:c>
      <x:c r="P404" s="71" t="str">
        <x:f>IF(O404&lt;0,"SHORT",IF(O404&lt;K404,"BELOW TARGET","COVERED"))</x:f>
        <x:v>SHORT</x:v>
      </x:c>
      <x:c r="Q404" s="63" t="str">
        <x:f>IF(AND(P404="SHORT",COUNTIFS($E$2:E404,E404,$P$2:P404,"SHORT")=1),B404,"")</x:f>
      </x:c>
    </x:row>
    <x:row r="405" ht="15" customHeight="1">
      <x:c r="A405" s="71" t="str">
        <x:v>SO-26051</x:v>
      </x:c>
      <x:c r="B405" s="75" t="n">
        <x:v>46283</x:v>
      </x:c>
      <x:c r="C405" s="71" t="str">
        <x:v>High</x:v>
      </x:c>
      <x:c r="D405" s="71" t="str">
        <x:v>FG-006</x:v>
      </x:c>
      <x:c r="E405" s="71" t="str">
        <x:v>RM-030</x:v>
      </x:c>
      <x:c r="F405" s="71" t="str">
        <x:v>Packaging 030</x:v>
      </x:c>
      <x:c r="G405" s="76" t="n">
        <x:v>100</x:v>
      </x:c>
      <x:c r="H405" s="76" t="n">
        <x:v>62.11</x:v>
      </x:c>
      <x:c r="I405" s="76" t="n">
        <x:f>G405*H405</x:f>
        <x:v>6211</x:v>
      </x:c>
      <x:c r="J405" s="76" t="n">
        <x:f>IFERROR(INDEX('Inventory'!$E$2:$E$71,MATCH(E405,'Inventory'!$A$2:$A$71,0)),0)</x:f>
        <x:v>9755</x:v>
      </x:c>
      <x:c r="K405" s="76" t="n">
        <x:f>IFERROR(INDEX('Inventory'!$F$2:$F$71,MATCH(E405,'Inventory'!$A$2:$A$71,0)),0)</x:f>
        <x:v>696</x:v>
      </x:c>
      <x:c r="L405" s="76" t="n">
        <x:f>SUMIFS('Open_POs'!$D$2:$D$26,'Open_POs'!$B$2:$B$26,E405,'Open_POs'!$E$2:$E$26,"&lt;="&amp;B405)</x:f>
        <x:v>2500</x:v>
      </x:c>
      <x:c r="M405" s="76" t="n">
        <x:f>J405+L405</x:f>
        <x:v>12255</x:v>
      </x:c>
      <x:c r="N405" s="76" t="n">
        <x:f>SUMIFS($I$2:I405,$E$2:E405,E405)</x:f>
        <x:v>12422</x:v>
      </x:c>
      <x:c r="O405" s="76" t="n">
        <x:f>M405-N405</x:f>
        <x:v>-167</x:v>
      </x:c>
      <x:c r="P405" s="71" t="str">
        <x:f>IF(O405&lt;0,"SHORT",IF(O405&lt;K405,"BELOW TARGET","COVERED"))</x:f>
        <x:v>SHORT</x:v>
      </x:c>
      <x:c r="Q405" s="63" t="n">
        <x:f>IF(AND(P405="SHORT",COUNTIFS($E$2:E405,E405,$P$2:P405,"SHORT")=1),B405,"")</x:f>
        <x:v>46283</x:v>
      </x:c>
    </x:row>
    <x:row r="406" ht="15" customHeight="1">
      <x:c r="A406" s="71" t="str">
        <x:v>SO-26051</x:v>
      </x:c>
      <x:c r="B406" s="75" t="n">
        <x:v>46283</x:v>
      </x:c>
      <x:c r="C406" s="71" t="str">
        <x:v>High</x:v>
      </x:c>
      <x:c r="D406" s="71" t="str">
        <x:v>FG-006</x:v>
      </x:c>
      <x:c r="E406" s="71" t="str">
        <x:v>RM-036</x:v>
      </x:c>
      <x:c r="F406" s="71" t="str">
        <x:v>Resin 036</x:v>
      </x:c>
      <x:c r="G406" s="76" t="n">
        <x:v>100</x:v>
      </x:c>
      <x:c r="H406" s="76" t="n">
        <x:v>70.07</x:v>
      </x:c>
      <x:c r="I406" s="76" t="n">
        <x:f>G406*H406</x:f>
        <x:v>7006.999999999999</x:v>
      </x:c>
      <x:c r="J406" s="76" t="n">
        <x:f>IFERROR(INDEX('Inventory'!$E$2:$E$71,MATCH(E406,'Inventory'!$A$2:$A$71,0)),0)</x:f>
        <x:v>12427</x:v>
      </x:c>
      <x:c r="K406" s="76" t="n">
        <x:f>IFERROR(INDEX('Inventory'!$F$2:$F$71,MATCH(E406,'Inventory'!$A$2:$A$71,0)),0)</x:f>
        <x:v>1016</x:v>
      </x:c>
      <x:c r="L406" s="76" t="n">
        <x:f>SUMIFS('Open_POs'!$D$2:$D$26,'Open_POs'!$B$2:$B$26,E406,'Open_POs'!$E$2:$E$26,"&lt;="&amp;B406)</x:f>
        <x:v>1000</x:v>
      </x:c>
      <x:c r="M406" s="76" t="n">
        <x:f>J406+L406</x:f>
        <x:v>13427</x:v>
      </x:c>
      <x:c r="N406" s="76" t="n">
        <x:f>SUMIFS($I$2:I406,$E$2:E406,E406)</x:f>
        <x:v>39465.200000000004</x:v>
      </x:c>
      <x:c r="O406" s="76" t="n">
        <x:f>M406-N406</x:f>
        <x:v>-26038.200000000004</x:v>
      </x:c>
      <x:c r="P406" s="71" t="str">
        <x:f>IF(O406&lt;0,"SHORT",IF(O406&lt;K406,"BELOW TARGET","COVERED"))</x:f>
        <x:v>SHORT</x:v>
      </x:c>
      <x:c r="Q406" s="63" t="str">
        <x:f>IF(AND(P406="SHORT",COUNTIFS($E$2:E406,E406,$P$2:P406,"SHORT")=1),B406,"")</x:f>
      </x:c>
    </x:row>
    <x:row r="407" ht="15" customHeight="1">
      <x:c r="A407" s="71" t="str">
        <x:v>SO-26051</x:v>
      </x:c>
      <x:c r="B407" s="75" t="n">
        <x:v>46283</x:v>
      </x:c>
      <x:c r="C407" s="71" t="str">
        <x:v>High</x:v>
      </x:c>
      <x:c r="D407" s="71" t="str">
        <x:v>FG-006</x:v>
      </x:c>
      <x:c r="E407" s="71" t="str">
        <x:v>RM-044</x:v>
      </x:c>
      <x:c r="F407" s="71" t="str">
        <x:v>Additive 044</x:v>
      </x:c>
      <x:c r="G407" s="76" t="n">
        <x:v>100</x:v>
      </x:c>
      <x:c r="H407" s="76" t="n">
        <x:v>26.77</x:v>
      </x:c>
      <x:c r="I407" s="76" t="n">
        <x:f>G407*H407</x:f>
        <x:v>2677</x:v>
      </x:c>
      <x:c r="J407" s="76" t="n">
        <x:f>IFERROR(INDEX('Inventory'!$E$2:$E$71,MATCH(E407,'Inventory'!$A$2:$A$71,0)),0)</x:f>
        <x:v>10361</x:v>
      </x:c>
      <x:c r="K407" s="76" t="n">
        <x:f>IFERROR(INDEX('Inventory'!$F$2:$F$71,MATCH(E407,'Inventory'!$A$2:$A$71,0)),0)</x:f>
        <x:v>571</x:v>
      </x:c>
      <x:c r="L407" s="76" t="n">
        <x:f>SUMIFS('Open_POs'!$D$2:$D$26,'Open_POs'!$B$2:$B$26,E407,'Open_POs'!$E$2:$E$26,"&lt;="&amp;B407)</x:f>
        <x:v>0</x:v>
      </x:c>
      <x:c r="M407" s="76" t="n">
        <x:f>J407+L407</x:f>
        <x:v>10361</x:v>
      </x:c>
      <x:c r="N407" s="76" t="n">
        <x:f>SUMIFS($I$2:I407,$E$2:E407,E407)</x:f>
        <x:v>22780.8</x:v>
      </x:c>
      <x:c r="O407" s="76" t="n">
        <x:f>M407-N407</x:f>
        <x:v>-12419.8</x:v>
      </x:c>
      <x:c r="P407" s="71" t="str">
        <x:f>IF(O407&lt;0,"SHORT",IF(O407&lt;K407,"BELOW TARGET","COVERED"))</x:f>
        <x:v>SHORT</x:v>
      </x:c>
      <x:c r="Q407" s="63" t="str">
        <x:f>IF(AND(P407="SHORT",COUNTIFS($E$2:E407,E407,$P$2:P407,"SHORT")=1),B407,"")</x:f>
      </x:c>
    </x:row>
    <x:row r="408" ht="15" customHeight="1">
      <x:c r="A408" s="71" t="str">
        <x:v>SO-26051</x:v>
      </x:c>
      <x:c r="B408" s="75" t="n">
        <x:v>46283</x:v>
      </x:c>
      <x:c r="C408" s="71" t="str">
        <x:v>High</x:v>
      </x:c>
      <x:c r="D408" s="71" t="str">
        <x:v>FG-006</x:v>
      </x:c>
      <x:c r="E408" s="71" t="str">
        <x:v>RM-059</x:v>
      </x:c>
      <x:c r="F408" s="71" t="str">
        <x:v>Additive 059</x:v>
      </x:c>
      <x:c r="G408" s="76" t="n">
        <x:v>100</x:v>
      </x:c>
      <x:c r="H408" s="76" t="n">
        <x:v>20.16</x:v>
      </x:c>
      <x:c r="I408" s="76" t="n">
        <x:f>G408*H408</x:f>
        <x:v>2016</x:v>
      </x:c>
      <x:c r="J408" s="76" t="n">
        <x:f>IFERROR(INDEX('Inventory'!$E$2:$E$71,MATCH(E408,'Inventory'!$A$2:$A$71,0)),0)</x:f>
        <x:v>10488</x:v>
      </x:c>
      <x:c r="K408" s="76" t="n">
        <x:f>IFERROR(INDEX('Inventory'!$F$2:$F$71,MATCH(E408,'Inventory'!$A$2:$A$71,0)),0)</x:f>
        <x:v>1442</x:v>
      </x:c>
      <x:c r="L408" s="76" t="n">
        <x:f>SUMIFS('Open_POs'!$D$2:$D$26,'Open_POs'!$B$2:$B$26,E408,'Open_POs'!$E$2:$E$26,"&lt;="&amp;B408)</x:f>
        <x:v>0</x:v>
      </x:c>
      <x:c r="M408" s="76" t="n">
        <x:f>J408+L408</x:f>
        <x:v>10488</x:v>
      </x:c>
      <x:c r="N408" s="76" t="n">
        <x:f>SUMIFS($I$2:I408,$E$2:E408,E408)</x:f>
        <x:v>43410.8</x:v>
      </x:c>
      <x:c r="O408" s="76" t="n">
        <x:f>M408-N408</x:f>
        <x:v>-32922.8</x:v>
      </x:c>
      <x:c r="P408" s="71" t="str">
        <x:f>IF(O408&lt;0,"SHORT",IF(O408&lt;K408,"BELOW TARGET","COVERED"))</x:f>
        <x:v>SHORT</x:v>
      </x:c>
      <x:c r="Q408" s="63" t="str">
        <x:f>IF(AND(P408="SHORT",COUNTIFS($E$2:E408,E408,$P$2:P408,"SHORT")=1),B408,"")</x:f>
      </x:c>
    </x:row>
    <x:row r="409" ht="15" customHeight="1">
      <x:c r="A409" s="71" t="str">
        <x:v>SO-26063</x:v>
      </x:c>
      <x:c r="B409" s="75" t="n">
        <x:v>46283</x:v>
      </x:c>
      <x:c r="C409" s="71" t="str">
        <x:v>High</x:v>
      </x:c>
      <x:c r="D409" s="71" t="str">
        <x:v>FG-022</x:v>
      </x:c>
      <x:c r="E409" s="71" t="str">
        <x:v>RM-005</x:v>
      </x:c>
      <x:c r="F409" s="71" t="str">
        <x:v>Packaging 005</x:v>
      </x:c>
      <x:c r="G409" s="76" t="n">
        <x:v>40</x:v>
      </x:c>
      <x:c r="H409" s="76" t="n">
        <x:v>17.79</x:v>
      </x:c>
      <x:c r="I409" s="76" t="n">
        <x:f>G409*H409</x:f>
        <x:v>711.5999999999999</x:v>
      </x:c>
      <x:c r="J409" s="76" t="n">
        <x:f>IFERROR(INDEX('Inventory'!$E$2:$E$71,MATCH(E409,'Inventory'!$A$2:$A$71,0)),0)</x:f>
        <x:v>8699</x:v>
      </x:c>
      <x:c r="K409" s="76" t="n">
        <x:f>IFERROR(INDEX('Inventory'!$F$2:$F$71,MATCH(E409,'Inventory'!$A$2:$A$71,0)),0)</x:f>
        <x:v>1174</x:v>
      </x:c>
      <x:c r="L409" s="76" t="n">
        <x:f>SUMIFS('Open_POs'!$D$2:$D$26,'Open_POs'!$B$2:$B$26,E409,'Open_POs'!$E$2:$E$26,"&lt;="&amp;B409)</x:f>
        <x:v>0</x:v>
      </x:c>
      <x:c r="M409" s="76" t="n">
        <x:f>J409+L409</x:f>
        <x:v>8699</x:v>
      </x:c>
      <x:c r="N409" s="76" t="n">
        <x:f>SUMIFS($I$2:I409,$E$2:E409,E409)</x:f>
        <x:v>36382.99999999999</x:v>
      </x:c>
      <x:c r="O409" s="76" t="n">
        <x:f>M409-N409</x:f>
        <x:v>-27683.999999999993</x:v>
      </x:c>
      <x:c r="P409" s="71" t="str">
        <x:f>IF(O409&lt;0,"SHORT",IF(O409&lt;K409,"BELOW TARGET","COVERED"))</x:f>
        <x:v>SHORT</x:v>
      </x:c>
      <x:c r="Q409" s="63" t="str">
        <x:f>IF(AND(P409="SHORT",COUNTIFS($E$2:E409,E409,$P$2:P409,"SHORT")=1),B409,"")</x:f>
      </x:c>
    </x:row>
    <x:row r="410" ht="15" customHeight="1">
      <x:c r="A410" s="71" t="str">
        <x:v>SO-26063</x:v>
      </x:c>
      <x:c r="B410" s="75" t="n">
        <x:v>46283</x:v>
      </x:c>
      <x:c r="C410" s="71" t="str">
        <x:v>High</x:v>
      </x:c>
      <x:c r="D410" s="71" t="str">
        <x:v>FG-022</x:v>
      </x:c>
      <x:c r="E410" s="71" t="str">
        <x:v>RM-015</x:v>
      </x:c>
      <x:c r="F410" s="71" t="str">
        <x:v>Packaging 015</x:v>
      </x:c>
      <x:c r="G410" s="76" t="n">
        <x:v>40</x:v>
      </x:c>
      <x:c r="H410" s="76" t="n">
        <x:v>10.04</x:v>
      </x:c>
      <x:c r="I410" s="76" t="n">
        <x:f>G410*H410</x:f>
        <x:v>401.59999999999997</x:v>
      </x:c>
      <x:c r="J410" s="76" t="n">
        <x:f>IFERROR(INDEX('Inventory'!$E$2:$E$71,MATCH(E410,'Inventory'!$A$2:$A$71,0)),0)</x:f>
        <x:v>8914</x:v>
      </x:c>
      <x:c r="K410" s="76" t="n">
        <x:f>IFERROR(INDEX('Inventory'!$F$2:$F$71,MATCH(E410,'Inventory'!$A$2:$A$71,0)),0)</x:f>
        <x:v>1380</x:v>
      </x:c>
      <x:c r="L410" s="76" t="n">
        <x:f>SUMIFS('Open_POs'!$D$2:$D$26,'Open_POs'!$B$2:$B$26,E410,'Open_POs'!$E$2:$E$26,"&lt;="&amp;B410)</x:f>
        <x:v>10000</x:v>
      </x:c>
      <x:c r="M410" s="76" t="n">
        <x:f>J410+L410</x:f>
        <x:v>18914</x:v>
      </x:c>
      <x:c r="N410" s="76" t="n">
        <x:f>SUMIFS($I$2:I410,$E$2:E410,E410)</x:f>
        <x:v>11126.4</x:v>
      </x:c>
      <x:c r="O410" s="76" t="n">
        <x:f>M410-N410</x:f>
        <x:v>7787.6</x:v>
      </x:c>
      <x:c r="P410" s="71" t="str">
        <x:f>IF(O410&lt;0,"SHORT",IF(O410&lt;K410,"BELOW TARGET","COVERED"))</x:f>
        <x:v>COVERED</x:v>
      </x:c>
      <x:c r="Q410" s="63" t="str">
        <x:f>IF(AND(P410="SHORT",COUNTIFS($E$2:E410,E410,$P$2:P410,"SHORT")=1),B410,"")</x:f>
      </x:c>
    </x:row>
    <x:row r="411" ht="15" customHeight="1">
      <x:c r="A411" s="71" t="str">
        <x:v>SO-26063</x:v>
      </x:c>
      <x:c r="B411" s="75" t="n">
        <x:v>46283</x:v>
      </x:c>
      <x:c r="C411" s="71" t="str">
        <x:v>High</x:v>
      </x:c>
      <x:c r="D411" s="71" t="str">
        <x:v>FG-022</x:v>
      </x:c>
      <x:c r="E411" s="71" t="str">
        <x:v>RM-024</x:v>
      </x:c>
      <x:c r="F411" s="71" t="str">
        <x:v>Additive 024</x:v>
      </x:c>
      <x:c r="G411" s="76" t="n">
        <x:v>40</x:v>
      </x:c>
      <x:c r="H411" s="76" t="n">
        <x:v>137.42</x:v>
      </x:c>
      <x:c r="I411" s="76" t="n">
        <x:f>G411*H411</x:f>
        <x:v>5496.799999999999</x:v>
      </x:c>
      <x:c r="J411" s="76" t="n">
        <x:f>IFERROR(INDEX('Inventory'!$E$2:$E$71,MATCH(E411,'Inventory'!$A$2:$A$71,0)),0)</x:f>
        <x:v>542</x:v>
      </x:c>
      <x:c r="K411" s="76" t="n">
        <x:f>IFERROR(INDEX('Inventory'!$F$2:$F$71,MATCH(E411,'Inventory'!$A$2:$A$71,0)),0)</x:f>
        <x:v>1356</x:v>
      </x:c>
      <x:c r="L411" s="76" t="n">
        <x:f>SUMIFS('Open_POs'!$D$2:$D$26,'Open_POs'!$B$2:$B$26,E411,'Open_POs'!$E$2:$E$26,"&lt;="&amp;B411)</x:f>
        <x:v>0</x:v>
      </x:c>
      <x:c r="M411" s="76" t="n">
        <x:f>J411+L411</x:f>
        <x:v>542</x:v>
      </x:c>
      <x:c r="N411" s="76" t="n">
        <x:f>SUMIFS($I$2:I411,$E$2:E411,E411)</x:f>
        <x:v>31631.2</x:v>
      </x:c>
      <x:c r="O411" s="76" t="n">
        <x:f>M411-N411</x:f>
        <x:v>-31089.2</x:v>
      </x:c>
      <x:c r="P411" s="71" t="str">
        <x:f>IF(O411&lt;0,"SHORT",IF(O411&lt;K411,"BELOW TARGET","COVERED"))</x:f>
        <x:v>SHORT</x:v>
      </x:c>
      <x:c r="Q411" s="63" t="str">
        <x:f>IF(AND(P411="SHORT",COUNTIFS($E$2:E411,E411,$P$2:P411,"SHORT")=1),B411,"")</x:f>
      </x:c>
    </x:row>
    <x:row r="412" ht="15" customHeight="1">
      <x:c r="A412" s="71" t="str">
        <x:v>SO-26063</x:v>
      </x:c>
      <x:c r="B412" s="75" t="n">
        <x:v>46283</x:v>
      </x:c>
      <x:c r="C412" s="71" t="str">
        <x:v>High</x:v>
      </x:c>
      <x:c r="D412" s="71" t="str">
        <x:v>FG-022</x:v>
      </x:c>
      <x:c r="E412" s="71" t="str">
        <x:v>RM-028</x:v>
      </x:c>
      <x:c r="F412" s="71" t="str">
        <x:v>Filler 028</x:v>
      </x:c>
      <x:c r="G412" s="76" t="n">
        <x:v>40</x:v>
      </x:c>
      <x:c r="H412" s="76" t="n">
        <x:v>14.86</x:v>
      </x:c>
      <x:c r="I412" s="76" t="n">
        <x:f>G412*H412</x:f>
        <x:v>594.4</x:v>
      </x:c>
      <x:c r="J412" s="76" t="n">
        <x:f>IFERROR(INDEX('Inventory'!$E$2:$E$71,MATCH(E412,'Inventory'!$A$2:$A$71,0)),0)</x:f>
        <x:v>14836</x:v>
      </x:c>
      <x:c r="K412" s="76" t="n">
        <x:f>IFERROR(INDEX('Inventory'!$F$2:$F$71,MATCH(E412,'Inventory'!$A$2:$A$71,0)),0)</x:f>
        <x:v>1498</x:v>
      </x:c>
      <x:c r="L412" s="76" t="n">
        <x:f>SUMIFS('Open_POs'!$D$2:$D$26,'Open_POs'!$B$2:$B$26,E412,'Open_POs'!$E$2:$E$26,"&lt;="&amp;B412)</x:f>
        <x:v>1000</x:v>
      </x:c>
      <x:c r="M412" s="76" t="n">
        <x:f>J412+L412</x:f>
        <x:v>15836</x:v>
      </x:c>
      <x:c r="N412" s="76" t="n">
        <x:f>SUMIFS($I$2:I412,$E$2:E412,E412)</x:f>
        <x:v>4050.6</x:v>
      </x:c>
      <x:c r="O412" s="76" t="n">
        <x:f>M412-N412</x:f>
        <x:v>11785.4</x:v>
      </x:c>
      <x:c r="P412" s="71" t="str">
        <x:f>IF(O412&lt;0,"SHORT",IF(O412&lt;K412,"BELOW TARGET","COVERED"))</x:f>
        <x:v>COVERED</x:v>
      </x:c>
      <x:c r="Q412" s="63" t="str">
        <x:f>IF(AND(P412="SHORT",COUNTIFS($E$2:E412,E412,$P$2:P412,"SHORT")=1),B412,"")</x:f>
      </x:c>
    </x:row>
    <x:row r="413" ht="15" customHeight="1">
      <x:c r="A413" s="71" t="str">
        <x:v>SO-26063</x:v>
      </x:c>
      <x:c r="B413" s="75" t="n">
        <x:v>46283</x:v>
      </x:c>
      <x:c r="C413" s="71" t="str">
        <x:v>High</x:v>
      </x:c>
      <x:c r="D413" s="71" t="str">
        <x:v>FG-022</x:v>
      </x:c>
      <x:c r="E413" s="71" t="str">
        <x:v>RM-038</x:v>
      </x:c>
      <x:c r="F413" s="71" t="str">
        <x:v>Filler 038</x:v>
      </x:c>
      <x:c r="G413" s="76" t="n">
        <x:v>40</x:v>
      </x:c>
      <x:c r="H413" s="76" t="n">
        <x:v>123.54</x:v>
      </x:c>
      <x:c r="I413" s="76" t="n">
        <x:f>G413*H413</x:f>
        <x:v>4941.6</x:v>
      </x:c>
      <x:c r="J413" s="76" t="n">
        <x:f>IFERROR(INDEX('Inventory'!$E$2:$E$71,MATCH(E413,'Inventory'!$A$2:$A$71,0)),0)</x:f>
        <x:v>10042</x:v>
      </x:c>
      <x:c r="K413" s="76" t="n">
        <x:f>IFERROR(INDEX('Inventory'!$F$2:$F$71,MATCH(E413,'Inventory'!$A$2:$A$71,0)),0)</x:f>
        <x:v>1452</x:v>
      </x:c>
      <x:c r="L413" s="76" t="n">
        <x:f>SUMIFS('Open_POs'!$D$2:$D$26,'Open_POs'!$B$2:$B$26,E413,'Open_POs'!$E$2:$E$26,"&lt;="&amp;B413)</x:f>
        <x:v>10000</x:v>
      </x:c>
      <x:c r="M413" s="76" t="n">
        <x:f>J413+L413</x:f>
        <x:v>20042</x:v>
      </x:c>
      <x:c r="N413" s="76" t="n">
        <x:f>SUMIFS($I$2:I413,$E$2:E413,E413)</x:f>
        <x:v>30437.1</x:v>
      </x:c>
      <x:c r="O413" s="76" t="n">
        <x:f>M413-N413</x:f>
        <x:v>-10395.099999999999</x:v>
      </x:c>
      <x:c r="P413" s="71" t="str">
        <x:f>IF(O413&lt;0,"SHORT",IF(O413&lt;K413,"BELOW TARGET","COVERED"))</x:f>
        <x:v>SHORT</x:v>
      </x:c>
      <x:c r="Q413" s="63" t="str">
        <x:f>IF(AND(P413="SHORT",COUNTIFS($E$2:E413,E413,$P$2:P413,"SHORT")=1),B413,"")</x:f>
      </x:c>
    </x:row>
    <x:row r="414" ht="15" customHeight="1">
      <x:c r="A414" s="71" t="str">
        <x:v>SO-26063</x:v>
      </x:c>
      <x:c r="B414" s="75" t="n">
        <x:v>46283</x:v>
      </x:c>
      <x:c r="C414" s="71" t="str">
        <x:v>High</x:v>
      </x:c>
      <x:c r="D414" s="71" t="str">
        <x:v>FG-022</x:v>
      </x:c>
      <x:c r="E414" s="71" t="str">
        <x:v>RM-041</x:v>
      </x:c>
      <x:c r="F414" s="71" t="str">
        <x:v>Resin 041</x:v>
      </x:c>
      <x:c r="G414" s="76" t="n">
        <x:v>40</x:v>
      </x:c>
      <x:c r="H414" s="76" t="n">
        <x:v>97.02</x:v>
      </x:c>
      <x:c r="I414" s="76" t="n">
        <x:f>G414*H414</x:f>
        <x:v>3880.7999999999997</x:v>
      </x:c>
      <x:c r="J414" s="76" t="n">
        <x:f>IFERROR(INDEX('Inventory'!$E$2:$E$71,MATCH(E414,'Inventory'!$A$2:$A$71,0)),0)</x:f>
        <x:v>4635</x:v>
      </x:c>
      <x:c r="K414" s="76" t="n">
        <x:f>IFERROR(INDEX('Inventory'!$F$2:$F$71,MATCH(E414,'Inventory'!$A$2:$A$71,0)),0)</x:f>
        <x:v>987</x:v>
      </x:c>
      <x:c r="L414" s="76" t="n">
        <x:f>SUMIFS('Open_POs'!$D$2:$D$26,'Open_POs'!$B$2:$B$26,E414,'Open_POs'!$E$2:$E$26,"&lt;="&amp;B414)</x:f>
        <x:v>0</x:v>
      </x:c>
      <x:c r="M414" s="76" t="n">
        <x:f>J414+L414</x:f>
        <x:v>4635</x:v>
      </x:c>
      <x:c r="N414" s="76" t="n">
        <x:f>SUMIFS($I$2:I414,$E$2:E414,E414)</x:f>
        <x:v>15560</x:v>
      </x:c>
      <x:c r="O414" s="76" t="n">
        <x:f>M414-N414</x:f>
        <x:v>-10925</x:v>
      </x:c>
      <x:c r="P414" s="71" t="str">
        <x:f>IF(O414&lt;0,"SHORT",IF(O414&lt;K414,"BELOW TARGET","COVERED"))</x:f>
        <x:v>SHORT</x:v>
      </x:c>
      <x:c r="Q414" s="63" t="str">
        <x:f>IF(AND(P414="SHORT",COUNTIFS($E$2:E414,E414,$P$2:P414,"SHORT")=1),B414,"")</x:f>
      </x:c>
    </x:row>
    <x:row r="415" ht="15" customHeight="1">
      <x:c r="A415" s="71" t="str">
        <x:v>SO-26063</x:v>
      </x:c>
      <x:c r="B415" s="75" t="n">
        <x:v>46283</x:v>
      </x:c>
      <x:c r="C415" s="71" t="str">
        <x:v>High</x:v>
      </x:c>
      <x:c r="D415" s="71" t="str">
        <x:v>FG-022</x:v>
      </x:c>
      <x:c r="E415" s="71" t="str">
        <x:v>RM-060</x:v>
      </x:c>
      <x:c r="F415" s="71" t="str">
        <x:v>Packaging 060</x:v>
      </x:c>
      <x:c r="G415" s="76" t="n">
        <x:v>40</x:v>
      </x:c>
      <x:c r="H415" s="76" t="n">
        <x:v>108.66</x:v>
      </x:c>
      <x:c r="I415" s="76" t="n">
        <x:f>G415*H415</x:f>
        <x:v>4346.4</x:v>
      </x:c>
      <x:c r="J415" s="76" t="n">
        <x:f>IFERROR(INDEX('Inventory'!$E$2:$E$71,MATCH(E415,'Inventory'!$A$2:$A$71,0)),0)</x:f>
        <x:v>17534</x:v>
      </x:c>
      <x:c r="K415" s="76" t="n">
        <x:f>IFERROR(INDEX('Inventory'!$F$2:$F$71,MATCH(E415,'Inventory'!$A$2:$A$71,0)),0)</x:f>
        <x:v>189</x:v>
      </x:c>
      <x:c r="L415" s="76" t="n">
        <x:f>SUMIFS('Open_POs'!$D$2:$D$26,'Open_POs'!$B$2:$B$26,E415,'Open_POs'!$E$2:$E$26,"&lt;="&amp;B415)</x:f>
        <x:v>5000</x:v>
      </x:c>
      <x:c r="M415" s="76" t="n">
        <x:f>J415+L415</x:f>
        <x:v>22534</x:v>
      </x:c>
      <x:c r="N415" s="76" t="n">
        <x:f>SUMIFS($I$2:I415,$E$2:E415,E415)</x:f>
        <x:v>10881</x:v>
      </x:c>
      <x:c r="O415" s="76" t="n">
        <x:f>M415-N415</x:f>
        <x:v>11653</x:v>
      </x:c>
      <x:c r="P415" s="71" t="str">
        <x:f>IF(O415&lt;0,"SHORT",IF(O415&lt;K415,"BELOW TARGET","COVERED"))</x:f>
        <x:v>COVERED</x:v>
      </x:c>
      <x:c r="Q415" s="63" t="str">
        <x:f>IF(AND(P415="SHORT",COUNTIFS($E$2:E415,E415,$P$2:P415,"SHORT")=1),B415,"")</x:f>
      </x:c>
    </x:row>
    <x:row r="416" ht="15" customHeight="1">
      <x:c r="A416" s="71" t="str">
        <x:v>SO-26063</x:v>
      </x:c>
      <x:c r="B416" s="75" t="n">
        <x:v>46283</x:v>
      </x:c>
      <x:c r="C416" s="71" t="str">
        <x:v>High</x:v>
      </x:c>
      <x:c r="D416" s="71" t="str">
        <x:v>FG-022</x:v>
      </x:c>
      <x:c r="E416" s="71" t="str">
        <x:v>RM-062</x:v>
      </x:c>
      <x:c r="F416" s="71" t="str">
        <x:v>Pigment 062</x:v>
      </x:c>
      <x:c r="G416" s="76" t="n">
        <x:v>40</x:v>
      </x:c>
      <x:c r="H416" s="76" t="n">
        <x:v>26.71</x:v>
      </x:c>
      <x:c r="I416" s="76" t="n">
        <x:f>G416*H416</x:f>
        <x:v>1068.4</x:v>
      </x:c>
      <x:c r="J416" s="76" t="n">
        <x:f>IFERROR(INDEX('Inventory'!$E$2:$E$71,MATCH(E416,'Inventory'!$A$2:$A$71,0)),0)</x:f>
        <x:v>7110</x:v>
      </x:c>
      <x:c r="K416" s="76" t="n">
        <x:f>IFERROR(INDEX('Inventory'!$F$2:$F$71,MATCH(E416,'Inventory'!$A$2:$A$71,0)),0)</x:f>
        <x:v>1339</x:v>
      </x:c>
      <x:c r="L416" s="76" t="n">
        <x:f>SUMIFS('Open_POs'!$D$2:$D$26,'Open_POs'!$B$2:$B$26,E416,'Open_POs'!$E$2:$E$26,"&lt;="&amp;B416)</x:f>
        <x:v>1000</x:v>
      </x:c>
      <x:c r="M416" s="76" t="n">
        <x:f>J416+L416</x:f>
        <x:v>8110</x:v>
      </x:c>
      <x:c r="N416" s="76" t="n">
        <x:f>SUMIFS($I$2:I416,$E$2:E416,E416)</x:f>
        <x:v>5585.4</x:v>
      </x:c>
      <x:c r="O416" s="76" t="n">
        <x:f>M416-N416</x:f>
        <x:v>2524.6000000000004</x:v>
      </x:c>
      <x:c r="P416" s="71" t="str">
        <x:f>IF(O416&lt;0,"SHORT",IF(O416&lt;K416,"BELOW TARGET","COVERED"))</x:f>
        <x:v>COVERED</x:v>
      </x:c>
      <x:c r="Q416" s="63" t="str">
        <x:f>IF(AND(P416="SHORT",COUNTIFS($E$2:E416,E416,$P$2:P416,"SHORT")=1),B416,"")</x:f>
      </x:c>
    </x:row>
    <x:row r="417" ht="15" customHeight="1">
      <x:c r="A417" s="71" t="str">
        <x:v>SO-26009</x:v>
      </x:c>
      <x:c r="B417" s="75" t="n">
        <x:v>46283</x:v>
      </x:c>
      <x:c r="C417" s="71" t="str">
        <x:v>Normal</x:v>
      </x:c>
      <x:c r="D417" s="71" t="str">
        <x:v>FG-011</x:v>
      </x:c>
      <x:c r="E417" s="71" t="str">
        <x:v>RM-005</x:v>
      </x:c>
      <x:c r="F417" s="71" t="str">
        <x:v>Packaging 005</x:v>
      </x:c>
      <x:c r="G417" s="76" t="n">
        <x:v>60</x:v>
      </x:c>
      <x:c r="H417" s="76" t="n">
        <x:v>66.99</x:v>
      </x:c>
      <x:c r="I417" s="76" t="n">
        <x:f>G417*H417</x:f>
        <x:v>4019.3999999999996</x:v>
      </x:c>
      <x:c r="J417" s="76" t="n">
        <x:f>IFERROR(INDEX('Inventory'!$E$2:$E$71,MATCH(E417,'Inventory'!$A$2:$A$71,0)),0)</x:f>
        <x:v>8699</x:v>
      </x:c>
      <x:c r="K417" s="76" t="n">
        <x:f>IFERROR(INDEX('Inventory'!$F$2:$F$71,MATCH(E417,'Inventory'!$A$2:$A$71,0)),0)</x:f>
        <x:v>1174</x:v>
      </x:c>
      <x:c r="L417" s="76" t="n">
        <x:f>SUMIFS('Open_POs'!$D$2:$D$26,'Open_POs'!$B$2:$B$26,E417,'Open_POs'!$E$2:$E$26,"&lt;="&amp;B417)</x:f>
        <x:v>0</x:v>
      </x:c>
      <x:c r="M417" s="76" t="n">
        <x:f>J417+L417</x:f>
        <x:v>8699</x:v>
      </x:c>
      <x:c r="N417" s="76" t="n">
        <x:f>SUMIFS($I$2:I417,$E$2:E417,E417)</x:f>
        <x:v>40402.399999999994</x:v>
      </x:c>
      <x:c r="O417" s="76" t="n">
        <x:f>M417-N417</x:f>
        <x:v>-31703.399999999994</x:v>
      </x:c>
      <x:c r="P417" s="71" t="str">
        <x:f>IF(O417&lt;0,"SHORT",IF(O417&lt;K417,"BELOW TARGET","COVERED"))</x:f>
        <x:v>SHORT</x:v>
      </x:c>
      <x:c r="Q417" s="63" t="str">
        <x:f>IF(AND(P417="SHORT",COUNTIFS($E$2:E417,E417,$P$2:P417,"SHORT")=1),B417,"")</x:f>
      </x:c>
    </x:row>
    <x:row r="418" ht="15" customHeight="1">
      <x:c r="A418" s="71" t="str">
        <x:v>SO-26009</x:v>
      </x:c>
      <x:c r="B418" s="75" t="n">
        <x:v>46283</x:v>
      </x:c>
      <x:c r="C418" s="71" t="str">
        <x:v>Normal</x:v>
      </x:c>
      <x:c r="D418" s="71" t="str">
        <x:v>FG-011</x:v>
      </x:c>
      <x:c r="E418" s="71" t="str">
        <x:v>RM-008</x:v>
      </x:c>
      <x:c r="F418" s="71" t="str">
        <x:v>Filler 008</x:v>
      </x:c>
      <x:c r="G418" s="76" t="n">
        <x:v>60</x:v>
      </x:c>
      <x:c r="H418" s="76" t="n">
        <x:v>39.55</x:v>
      </x:c>
      <x:c r="I418" s="76" t="n">
        <x:f>G418*H418</x:f>
        <x:v>2373</x:v>
      </x:c>
      <x:c r="J418" s="76" t="n">
        <x:f>IFERROR(INDEX('Inventory'!$E$2:$E$71,MATCH(E418,'Inventory'!$A$2:$A$71,0)),0)</x:f>
        <x:v>430</x:v>
      </x:c>
      <x:c r="K418" s="76" t="n">
        <x:f>IFERROR(INDEX('Inventory'!$F$2:$F$71,MATCH(E418,'Inventory'!$A$2:$A$71,0)),0)</x:f>
        <x:v>1037</x:v>
      </x:c>
      <x:c r="L418" s="76" t="n">
        <x:f>SUMIFS('Open_POs'!$D$2:$D$26,'Open_POs'!$B$2:$B$26,E418,'Open_POs'!$E$2:$E$26,"&lt;="&amp;B418)</x:f>
        <x:v>0</x:v>
      </x:c>
      <x:c r="M418" s="76" t="n">
        <x:f>J418+L418</x:f>
        <x:v>430</x:v>
      </x:c>
      <x:c r="N418" s="76" t="n">
        <x:f>SUMIFS($I$2:I418,$E$2:E418,E418)</x:f>
        <x:v>30151.399999999998</x:v>
      </x:c>
      <x:c r="O418" s="76" t="n">
        <x:f>M418-N418</x:f>
        <x:v>-29721.399999999998</x:v>
      </x:c>
      <x:c r="P418" s="71" t="str">
        <x:f>IF(O418&lt;0,"SHORT",IF(O418&lt;K418,"BELOW TARGET","COVERED"))</x:f>
        <x:v>SHORT</x:v>
      </x:c>
      <x:c r="Q418" s="63" t="str">
        <x:f>IF(AND(P418="SHORT",COUNTIFS($E$2:E418,E418,$P$2:P418,"SHORT")=1),B418,"")</x:f>
      </x:c>
    </x:row>
    <x:row r="419" ht="15" customHeight="1">
      <x:c r="A419" s="71" t="str">
        <x:v>SO-26009</x:v>
      </x:c>
      <x:c r="B419" s="75" t="n">
        <x:v>46283</x:v>
      </x:c>
      <x:c r="C419" s="71" t="str">
        <x:v>Normal</x:v>
      </x:c>
      <x:c r="D419" s="71" t="str">
        <x:v>FG-011</x:v>
      </x:c>
      <x:c r="E419" s="71" t="str">
        <x:v>RM-010</x:v>
      </x:c>
      <x:c r="F419" s="71" t="str">
        <x:v>Packaging 010</x:v>
      </x:c>
      <x:c r="G419" s="76" t="n">
        <x:v>60</x:v>
      </x:c>
      <x:c r="H419" s="76" t="n">
        <x:v>104.73</x:v>
      </x:c>
      <x:c r="I419" s="76" t="n">
        <x:f>G419*H419</x:f>
        <x:v>6283.8</x:v>
      </x:c>
      <x:c r="J419" s="76" t="n">
        <x:f>IFERROR(INDEX('Inventory'!$E$2:$E$71,MATCH(E419,'Inventory'!$A$2:$A$71,0)),0)</x:f>
        <x:v>14191</x:v>
      </x:c>
      <x:c r="K419" s="76" t="n">
        <x:f>IFERROR(INDEX('Inventory'!$F$2:$F$71,MATCH(E419,'Inventory'!$A$2:$A$71,0)),0)</x:f>
        <x:v>615</x:v>
      </x:c>
      <x:c r="L419" s="76" t="n">
        <x:f>SUMIFS('Open_POs'!$D$2:$D$26,'Open_POs'!$B$2:$B$26,E419,'Open_POs'!$E$2:$E$26,"&lt;="&amp;B419)</x:f>
        <x:v>0</x:v>
      </x:c>
      <x:c r="M419" s="76" t="n">
        <x:f>J419+L419</x:f>
        <x:v>14191</x:v>
      </x:c>
      <x:c r="N419" s="76" t="n">
        <x:f>SUMIFS($I$2:I419,$E$2:E419,E419)</x:f>
        <x:v>60343.200000000004</x:v>
      </x:c>
      <x:c r="O419" s="76" t="n">
        <x:f>M419-N419</x:f>
        <x:v>-46152.200000000004</x:v>
      </x:c>
      <x:c r="P419" s="71" t="str">
        <x:f>IF(O419&lt;0,"SHORT",IF(O419&lt;K419,"BELOW TARGET","COVERED"))</x:f>
        <x:v>SHORT</x:v>
      </x:c>
      <x:c r="Q419" s="63" t="str">
        <x:f>IF(AND(P419="SHORT",COUNTIFS($E$2:E419,E419,$P$2:P419,"SHORT")=1),B419,"")</x:f>
      </x:c>
    </x:row>
    <x:row r="420" ht="15" customHeight="1">
      <x:c r="A420" s="71" t="str">
        <x:v>SO-26009</x:v>
      </x:c>
      <x:c r="B420" s="75" t="n">
        <x:v>46283</x:v>
      </x:c>
      <x:c r="C420" s="71" t="str">
        <x:v>Normal</x:v>
      </x:c>
      <x:c r="D420" s="71" t="str">
        <x:v>FG-011</x:v>
      </x:c>
      <x:c r="E420" s="71" t="str">
        <x:v>RM-019</x:v>
      </x:c>
      <x:c r="F420" s="71" t="str">
        <x:v>Additive 019</x:v>
      </x:c>
      <x:c r="G420" s="76" t="n">
        <x:v>60</x:v>
      </x:c>
      <x:c r="H420" s="76" t="n">
        <x:v>13.26</x:v>
      </x:c>
      <x:c r="I420" s="76" t="n">
        <x:f>G420*H420</x:f>
        <x:v>795.6</x:v>
      </x:c>
      <x:c r="J420" s="76" t="n">
        <x:f>IFERROR(INDEX('Inventory'!$E$2:$E$71,MATCH(E420,'Inventory'!$A$2:$A$71,0)),0)</x:f>
        <x:v>6552</x:v>
      </x:c>
      <x:c r="K420" s="76" t="n">
        <x:f>IFERROR(INDEX('Inventory'!$F$2:$F$71,MATCH(E420,'Inventory'!$A$2:$A$71,0)),0)</x:f>
        <x:v>1079</x:v>
      </x:c>
      <x:c r="L420" s="76" t="n">
        <x:f>SUMIFS('Open_POs'!$D$2:$D$26,'Open_POs'!$B$2:$B$26,E420,'Open_POs'!$E$2:$E$26,"&lt;="&amp;B420)</x:f>
        <x:v>0</x:v>
      </x:c>
      <x:c r="M420" s="76" t="n">
        <x:f>J420+L420</x:f>
        <x:v>6552</x:v>
      </x:c>
      <x:c r="N420" s="76" t="n">
        <x:f>SUMIFS($I$2:I420,$E$2:E420,E420)</x:f>
        <x:v>11524.2</x:v>
      </x:c>
      <x:c r="O420" s="76" t="n">
        <x:f>M420-N420</x:f>
        <x:v>-4972.200000000001</x:v>
      </x:c>
      <x:c r="P420" s="71" t="str">
        <x:f>IF(O420&lt;0,"SHORT",IF(O420&lt;K420,"BELOW TARGET","COVERED"))</x:f>
        <x:v>SHORT</x:v>
      </x:c>
      <x:c r="Q420" s="63" t="str">
        <x:f>IF(AND(P420="SHORT",COUNTIFS($E$2:E420,E420,$P$2:P420,"SHORT")=1),B420,"")</x:f>
      </x:c>
    </x:row>
    <x:row r="421" ht="15" customHeight="1">
      <x:c r="A421" s="71" t="str">
        <x:v>SO-26009</x:v>
      </x:c>
      <x:c r="B421" s="75" t="n">
        <x:v>46283</x:v>
      </x:c>
      <x:c r="C421" s="71" t="str">
        <x:v>Normal</x:v>
      </x:c>
      <x:c r="D421" s="71" t="str">
        <x:v>FG-011</x:v>
      </x:c>
      <x:c r="E421" s="71" t="str">
        <x:v>RM-031</x:v>
      </x:c>
      <x:c r="F421" s="71" t="str">
        <x:v>Resin 031</x:v>
      </x:c>
      <x:c r="G421" s="76" t="n">
        <x:v>60</x:v>
      </x:c>
      <x:c r="H421" s="76" t="n">
        <x:v>21.51</x:v>
      </x:c>
      <x:c r="I421" s="76" t="n">
        <x:f>G421*H421</x:f>
        <x:v>1290.6000000000001</x:v>
      </x:c>
      <x:c r="J421" s="76" t="n">
        <x:f>IFERROR(INDEX('Inventory'!$E$2:$E$71,MATCH(E421,'Inventory'!$A$2:$A$71,0)),0)</x:f>
        <x:v>6087</x:v>
      </x:c>
      <x:c r="K421" s="76" t="n">
        <x:f>IFERROR(INDEX('Inventory'!$F$2:$F$71,MATCH(E421,'Inventory'!$A$2:$A$71,0)),0)</x:f>
        <x:v>714</x:v>
      </x:c>
      <x:c r="L421" s="76" t="n">
        <x:f>SUMIFS('Open_POs'!$D$2:$D$26,'Open_POs'!$B$2:$B$26,E421,'Open_POs'!$E$2:$E$26,"&lt;="&amp;B421)</x:f>
        <x:v>0</x:v>
      </x:c>
      <x:c r="M421" s="76" t="n">
        <x:f>J421+L421</x:f>
        <x:v>6087</x:v>
      </x:c>
      <x:c r="N421" s="76" t="n">
        <x:f>SUMIFS($I$2:I421,$E$2:E421,E421)</x:f>
        <x:v>19912.699999999997</x:v>
      </x:c>
      <x:c r="O421" s="76" t="n">
        <x:f>M421-N421</x:f>
        <x:v>-13825.699999999997</x:v>
      </x:c>
      <x:c r="P421" s="71" t="str">
        <x:f>IF(O421&lt;0,"SHORT",IF(O421&lt;K421,"BELOW TARGET","COVERED"))</x:f>
        <x:v>SHORT</x:v>
      </x:c>
      <x:c r="Q421" s="63" t="str">
        <x:f>IF(AND(P421="SHORT",COUNTIFS($E$2:E421,E421,$P$2:P421,"SHORT")=1),B421,"")</x:f>
      </x:c>
    </x:row>
    <x:row r="422" ht="15" customHeight="1">
      <x:c r="A422" s="71" t="str">
        <x:v>SO-26009</x:v>
      </x:c>
      <x:c r="B422" s="75" t="n">
        <x:v>46283</x:v>
      </x:c>
      <x:c r="C422" s="71" t="str">
        <x:v>Normal</x:v>
      </x:c>
      <x:c r="D422" s="71" t="str">
        <x:v>FG-011</x:v>
      </x:c>
      <x:c r="E422" s="71" t="str">
        <x:v>RM-032</x:v>
      </x:c>
      <x:c r="F422" s="71" t="str">
        <x:v>Pigment 032</x:v>
      </x:c>
      <x:c r="G422" s="76" t="n">
        <x:v>60</x:v>
      </x:c>
      <x:c r="H422" s="76" t="n">
        <x:v>119.29</x:v>
      </x:c>
      <x:c r="I422" s="76" t="n">
        <x:f>G422*H422</x:f>
        <x:v>7157.400000000001</x:v>
      </x:c>
      <x:c r="J422" s="76" t="n">
        <x:f>IFERROR(INDEX('Inventory'!$E$2:$E$71,MATCH(E422,'Inventory'!$A$2:$A$71,0)),0)</x:f>
        <x:v>674</x:v>
      </x:c>
      <x:c r="K422" s="76" t="n">
        <x:f>IFERROR(INDEX('Inventory'!$F$2:$F$71,MATCH(E422,'Inventory'!$A$2:$A$71,0)),0)</x:f>
        <x:v>1056</x:v>
      </x:c>
      <x:c r="L422" s="76" t="n">
        <x:f>SUMIFS('Open_POs'!$D$2:$D$26,'Open_POs'!$B$2:$B$26,E422,'Open_POs'!$E$2:$E$26,"&lt;="&amp;B422)</x:f>
        <x:v>2500</x:v>
      </x:c>
      <x:c r="M422" s="76" t="n">
        <x:f>J422+L422</x:f>
        <x:v>3174</x:v>
      </x:c>
      <x:c r="N422" s="76" t="n">
        <x:f>SUMIFS($I$2:I422,$E$2:E422,E422)</x:f>
        <x:v>65744.09999999999</x:v>
      </x:c>
      <x:c r="O422" s="76" t="n">
        <x:f>M422-N422</x:f>
        <x:v>-62570.09999999999</x:v>
      </x:c>
      <x:c r="P422" s="71" t="str">
        <x:f>IF(O422&lt;0,"SHORT",IF(O422&lt;K422,"BELOW TARGET","COVERED"))</x:f>
        <x:v>SHORT</x:v>
      </x:c>
      <x:c r="Q422" s="63" t="str">
        <x:f>IF(AND(P422="SHORT",COUNTIFS($E$2:E422,E422,$P$2:P422,"SHORT")=1),B422,"")</x:f>
      </x:c>
    </x:row>
    <x:row r="423" ht="15" customHeight="1">
      <x:c r="A423" s="71" t="str">
        <x:v>SO-26009</x:v>
      </x:c>
      <x:c r="B423" s="75" t="n">
        <x:v>46283</x:v>
      </x:c>
      <x:c r="C423" s="71" t="str">
        <x:v>Normal</x:v>
      </x:c>
      <x:c r="D423" s="71" t="str">
        <x:v>FG-011</x:v>
      </x:c>
      <x:c r="E423" s="71" t="str">
        <x:v>RM-036</x:v>
      </x:c>
      <x:c r="F423" s="71" t="str">
        <x:v>Resin 036</x:v>
      </x:c>
      <x:c r="G423" s="76" t="n">
        <x:v>60</x:v>
      </x:c>
      <x:c r="H423" s="76" t="n">
        <x:v>52.72</x:v>
      </x:c>
      <x:c r="I423" s="76" t="n">
        <x:f>G423*H423</x:f>
        <x:v>3163.2</x:v>
      </x:c>
      <x:c r="J423" s="76" t="n">
        <x:f>IFERROR(INDEX('Inventory'!$E$2:$E$71,MATCH(E423,'Inventory'!$A$2:$A$71,0)),0)</x:f>
        <x:v>12427</x:v>
      </x:c>
      <x:c r="K423" s="76" t="n">
        <x:f>IFERROR(INDEX('Inventory'!$F$2:$F$71,MATCH(E423,'Inventory'!$A$2:$A$71,0)),0)</x:f>
        <x:v>1016</x:v>
      </x:c>
      <x:c r="L423" s="76" t="n">
        <x:f>SUMIFS('Open_POs'!$D$2:$D$26,'Open_POs'!$B$2:$B$26,E423,'Open_POs'!$E$2:$E$26,"&lt;="&amp;B423)</x:f>
        <x:v>1000</x:v>
      </x:c>
      <x:c r="M423" s="76" t="n">
        <x:f>J423+L423</x:f>
        <x:v>13427</x:v>
      </x:c>
      <x:c r="N423" s="76" t="n">
        <x:f>SUMIFS($I$2:I423,$E$2:E423,E423)</x:f>
        <x:v>42628.4</x:v>
      </x:c>
      <x:c r="O423" s="76" t="n">
        <x:f>M423-N423</x:f>
        <x:v>-29201.4</x:v>
      </x:c>
      <x:c r="P423" s="71" t="str">
        <x:f>IF(O423&lt;0,"SHORT",IF(O423&lt;K423,"BELOW TARGET","COVERED"))</x:f>
        <x:v>SHORT</x:v>
      </x:c>
      <x:c r="Q423" s="63" t="str">
        <x:f>IF(AND(P423="SHORT",COUNTIFS($E$2:E423,E423,$P$2:P423,"SHORT")=1),B423,"")</x:f>
      </x:c>
    </x:row>
    <x:row r="424" ht="15" customHeight="1">
      <x:c r="A424" s="71" t="str">
        <x:v>SO-26009</x:v>
      </x:c>
      <x:c r="B424" s="75" t="n">
        <x:v>46283</x:v>
      </x:c>
      <x:c r="C424" s="71" t="str">
        <x:v>Normal</x:v>
      </x:c>
      <x:c r="D424" s="71" t="str">
        <x:v>FG-011</x:v>
      </x:c>
      <x:c r="E424" s="71" t="str">
        <x:v>RM-058</x:v>
      </x:c>
      <x:c r="F424" s="71" t="str">
        <x:v>Filler 058</x:v>
      </x:c>
      <x:c r="G424" s="76" t="n">
        <x:v>60</x:v>
      </x:c>
      <x:c r="H424" s="76" t="n">
        <x:v>26.63</x:v>
      </x:c>
      <x:c r="I424" s="76" t="n">
        <x:f>G424*H424</x:f>
        <x:v>1597.8</x:v>
      </x:c>
      <x:c r="J424" s="76" t="n">
        <x:f>IFERROR(INDEX('Inventory'!$E$2:$E$71,MATCH(E424,'Inventory'!$A$2:$A$71,0)),0)</x:f>
        <x:v>9929</x:v>
      </x:c>
      <x:c r="K424" s="76" t="n">
        <x:f>IFERROR(INDEX('Inventory'!$F$2:$F$71,MATCH(E424,'Inventory'!$A$2:$A$71,0)),0)</x:f>
        <x:v>701</x:v>
      </x:c>
      <x:c r="L424" s="76" t="n">
        <x:f>SUMIFS('Open_POs'!$D$2:$D$26,'Open_POs'!$B$2:$B$26,E424,'Open_POs'!$E$2:$E$26,"&lt;="&amp;B424)</x:f>
        <x:v>0</x:v>
      </x:c>
      <x:c r="M424" s="76" t="n">
        <x:f>J424+L424</x:f>
        <x:v>9929</x:v>
      </x:c>
      <x:c r="N424" s="76" t="n">
        <x:f>SUMIFS($I$2:I424,$E$2:E424,E424)</x:f>
        <x:v>60863.90000000001</x:v>
      </x:c>
      <x:c r="O424" s="76" t="n">
        <x:f>M424-N424</x:f>
        <x:v>-50934.90000000001</x:v>
      </x:c>
      <x:c r="P424" s="71" t="str">
        <x:f>IF(O424&lt;0,"SHORT",IF(O424&lt;K424,"BELOW TARGET","COVERED"))</x:f>
        <x:v>SHORT</x:v>
      </x:c>
      <x:c r="Q424" s="63" t="str">
        <x:f>IF(AND(P424="SHORT",COUNTIFS($E$2:E424,E424,$P$2:P424,"SHORT")=1),B424,"")</x:f>
      </x:c>
    </x:row>
    <x:row r="425" ht="15" customHeight="1">
      <x:c r="A425" s="71" t="str">
        <x:v>SO-26024</x:v>
      </x:c>
      <x:c r="B425" s="75" t="n">
        <x:v>46284</x:v>
      </x:c>
      <x:c r="C425" s="71" t="str">
        <x:v>Normal</x:v>
      </x:c>
      <x:c r="D425" s="71" t="str">
        <x:v>FG-017</x:v>
      </x:c>
      <x:c r="E425" s="71" t="str">
        <x:v>RM-003</x:v>
      </x:c>
      <x:c r="F425" s="71" t="str">
        <x:v>Filler 003</x:v>
      </x:c>
      <x:c r="G425" s="76" t="n">
        <x:v>20</x:v>
      </x:c>
      <x:c r="H425" s="76" t="n">
        <x:v>60.21</x:v>
      </x:c>
      <x:c r="I425" s="76" t="n">
        <x:f>G425*H425</x:f>
        <x:v>1204.2</x:v>
      </x:c>
      <x:c r="J425" s="76" t="n">
        <x:f>IFERROR(INDEX('Inventory'!$E$2:$E$71,MATCH(E425,'Inventory'!$A$2:$A$71,0)),0)</x:f>
        <x:v>15564</x:v>
      </x:c>
      <x:c r="K425" s="76" t="n">
        <x:f>IFERROR(INDEX('Inventory'!$F$2:$F$71,MATCH(E425,'Inventory'!$A$2:$A$71,0)),0)</x:f>
        <x:v>174</x:v>
      </x:c>
      <x:c r="L425" s="76" t="n">
        <x:f>SUMIFS('Open_POs'!$D$2:$D$26,'Open_POs'!$B$2:$B$26,E425,'Open_POs'!$E$2:$E$26,"&lt;="&amp;B425)</x:f>
        <x:v>0</x:v>
      </x:c>
      <x:c r="M425" s="76" t="n">
        <x:f>J425+L425</x:f>
        <x:v>15564</x:v>
      </x:c>
      <x:c r="N425" s="76" t="n">
        <x:f>SUMIFS($I$2:I425,$E$2:E425,E425)</x:f>
        <x:v>10837.800000000001</x:v>
      </x:c>
      <x:c r="O425" s="76" t="n">
        <x:f>M425-N425</x:f>
        <x:v>4726.199999999999</x:v>
      </x:c>
      <x:c r="P425" s="71" t="str">
        <x:f>IF(O425&lt;0,"SHORT",IF(O425&lt;K425,"BELOW TARGET","COVERED"))</x:f>
        <x:v>COVERED</x:v>
      </x:c>
      <x:c r="Q425" s="63" t="str">
        <x:f>IF(AND(P425="SHORT",COUNTIFS($E$2:E425,E425,$P$2:P425,"SHORT")=1),B425,"")</x:f>
      </x:c>
    </x:row>
    <x:row r="426" ht="15" customHeight="1">
      <x:c r="A426" s="71" t="str">
        <x:v>SO-26024</x:v>
      </x:c>
      <x:c r="B426" s="75" t="n">
        <x:v>46284</x:v>
      </x:c>
      <x:c r="C426" s="71" t="str">
        <x:v>Normal</x:v>
      </x:c>
      <x:c r="D426" s="71" t="str">
        <x:v>FG-017</x:v>
      </x:c>
      <x:c r="E426" s="71" t="str">
        <x:v>RM-005</x:v>
      </x:c>
      <x:c r="F426" s="71" t="str">
        <x:v>Packaging 005</x:v>
      </x:c>
      <x:c r="G426" s="76" t="n">
        <x:v>20</x:v>
      </x:c>
      <x:c r="H426" s="76" t="n">
        <x:v>50.91</x:v>
      </x:c>
      <x:c r="I426" s="76" t="n">
        <x:f>G426*H426</x:f>
        <x:v>1018.1999999999999</x:v>
      </x:c>
      <x:c r="J426" s="76" t="n">
        <x:f>IFERROR(INDEX('Inventory'!$E$2:$E$71,MATCH(E426,'Inventory'!$A$2:$A$71,0)),0)</x:f>
        <x:v>8699</x:v>
      </x:c>
      <x:c r="K426" s="76" t="n">
        <x:f>IFERROR(INDEX('Inventory'!$F$2:$F$71,MATCH(E426,'Inventory'!$A$2:$A$71,0)),0)</x:f>
        <x:v>1174</x:v>
      </x:c>
      <x:c r="L426" s="76" t="n">
        <x:f>SUMIFS('Open_POs'!$D$2:$D$26,'Open_POs'!$B$2:$B$26,E426,'Open_POs'!$E$2:$E$26,"&lt;="&amp;B426)</x:f>
        <x:v>0</x:v>
      </x:c>
      <x:c r="M426" s="76" t="n">
        <x:f>J426+L426</x:f>
        <x:v>8699</x:v>
      </x:c>
      <x:c r="N426" s="76" t="n">
        <x:f>SUMIFS($I$2:I426,$E$2:E426,E426)</x:f>
        <x:v>41420.59999999999</x:v>
      </x:c>
      <x:c r="O426" s="76" t="n">
        <x:f>M426-N426</x:f>
        <x:v>-32721.59999999999</x:v>
      </x:c>
      <x:c r="P426" s="71" t="str">
        <x:f>IF(O426&lt;0,"SHORT",IF(O426&lt;K426,"BELOW TARGET","COVERED"))</x:f>
        <x:v>SHORT</x:v>
      </x:c>
      <x:c r="Q426" s="63" t="str">
        <x:f>IF(AND(P426="SHORT",COUNTIFS($E$2:E426,E426,$P$2:P426,"SHORT")=1),B426,"")</x:f>
      </x:c>
    </x:row>
    <x:row r="427" ht="15" customHeight="1">
      <x:c r="A427" s="71" t="str">
        <x:v>SO-26024</x:v>
      </x:c>
      <x:c r="B427" s="75" t="n">
        <x:v>46284</x:v>
      </x:c>
      <x:c r="C427" s="71" t="str">
        <x:v>Normal</x:v>
      </x:c>
      <x:c r="D427" s="71" t="str">
        <x:v>FG-017</x:v>
      </x:c>
      <x:c r="E427" s="71" t="str">
        <x:v>RM-025</x:v>
      </x:c>
      <x:c r="F427" s="71" t="str">
        <x:v>Packaging 025</x:v>
      </x:c>
      <x:c r="G427" s="76" t="n">
        <x:v>20</x:v>
      </x:c>
      <x:c r="H427" s="76" t="n">
        <x:v>41.44</x:v>
      </x:c>
      <x:c r="I427" s="76" t="n">
        <x:f>G427*H427</x:f>
        <x:v>828.8</x:v>
      </x:c>
      <x:c r="J427" s="76" t="n">
        <x:f>IFERROR(INDEX('Inventory'!$E$2:$E$71,MATCH(E427,'Inventory'!$A$2:$A$71,0)),0)</x:f>
        <x:v>2469</x:v>
      </x:c>
      <x:c r="K427" s="76" t="n">
        <x:f>IFERROR(INDEX('Inventory'!$F$2:$F$71,MATCH(E427,'Inventory'!$A$2:$A$71,0)),0)</x:f>
        <x:v>229</x:v>
      </x:c>
      <x:c r="L427" s="76" t="n">
        <x:f>SUMIFS('Open_POs'!$D$2:$D$26,'Open_POs'!$B$2:$B$26,E427,'Open_POs'!$E$2:$E$26,"&lt;="&amp;B427)</x:f>
        <x:v>10000</x:v>
      </x:c>
      <x:c r="M427" s="76" t="n">
        <x:f>J427+L427</x:f>
        <x:v>12469</x:v>
      </x:c>
      <x:c r="N427" s="76" t="n">
        <x:f>SUMIFS($I$2:I427,$E$2:E427,E427)</x:f>
        <x:v>35025.899999999994</x:v>
      </x:c>
      <x:c r="O427" s="76" t="n">
        <x:f>M427-N427</x:f>
        <x:v>-22556.899999999994</x:v>
      </x:c>
      <x:c r="P427" s="71" t="str">
        <x:f>IF(O427&lt;0,"SHORT",IF(O427&lt;K427,"BELOW TARGET","COVERED"))</x:f>
        <x:v>SHORT</x:v>
      </x:c>
      <x:c r="Q427" s="63" t="str">
        <x:f>IF(AND(P427="SHORT",COUNTIFS($E$2:E427,E427,$P$2:P427,"SHORT")=1),B427,"")</x:f>
      </x:c>
    </x:row>
    <x:row r="428" ht="15" customHeight="1">
      <x:c r="A428" s="71" t="str">
        <x:v>SO-26024</x:v>
      </x:c>
      <x:c r="B428" s="75" t="n">
        <x:v>46284</x:v>
      </x:c>
      <x:c r="C428" s="71" t="str">
        <x:v>Normal</x:v>
      </x:c>
      <x:c r="D428" s="71" t="str">
        <x:v>FG-017</x:v>
      </x:c>
      <x:c r="E428" s="71" t="str">
        <x:v>RM-041</x:v>
      </x:c>
      <x:c r="F428" s="71" t="str">
        <x:v>Resin 041</x:v>
      </x:c>
      <x:c r="G428" s="76" t="n">
        <x:v>20</x:v>
      </x:c>
      <x:c r="H428" s="76" t="n">
        <x:v>38.8</x:v>
      </x:c>
      <x:c r="I428" s="76" t="n">
        <x:f>G428*H428</x:f>
        <x:v>776</x:v>
      </x:c>
      <x:c r="J428" s="76" t="n">
        <x:f>IFERROR(INDEX('Inventory'!$E$2:$E$71,MATCH(E428,'Inventory'!$A$2:$A$71,0)),0)</x:f>
        <x:v>4635</x:v>
      </x:c>
      <x:c r="K428" s="76" t="n">
        <x:f>IFERROR(INDEX('Inventory'!$F$2:$F$71,MATCH(E428,'Inventory'!$A$2:$A$71,0)),0)</x:f>
        <x:v>987</x:v>
      </x:c>
      <x:c r="L428" s="76" t="n">
        <x:f>SUMIFS('Open_POs'!$D$2:$D$26,'Open_POs'!$B$2:$B$26,E428,'Open_POs'!$E$2:$E$26,"&lt;="&amp;B428)</x:f>
        <x:v>0</x:v>
      </x:c>
      <x:c r="M428" s="76" t="n">
        <x:f>J428+L428</x:f>
        <x:v>4635</x:v>
      </x:c>
      <x:c r="N428" s="76" t="n">
        <x:f>SUMIFS($I$2:I428,$E$2:E428,E428)</x:f>
        <x:v>16336</x:v>
      </x:c>
      <x:c r="O428" s="76" t="n">
        <x:f>M428-N428</x:f>
        <x:v>-11701</x:v>
      </x:c>
      <x:c r="P428" s="71" t="str">
        <x:f>IF(O428&lt;0,"SHORT",IF(O428&lt;K428,"BELOW TARGET","COVERED"))</x:f>
        <x:v>SHORT</x:v>
      </x:c>
      <x:c r="Q428" s="63" t="str">
        <x:f>IF(AND(P428="SHORT",COUNTIFS($E$2:E428,E428,$P$2:P428,"SHORT")=1),B428,"")</x:f>
      </x:c>
    </x:row>
    <x:row r="429" ht="15" customHeight="1">
      <x:c r="A429" s="71" t="str">
        <x:v>SO-26024</x:v>
      </x:c>
      <x:c r="B429" s="75" t="n">
        <x:v>46284</x:v>
      </x:c>
      <x:c r="C429" s="71" t="str">
        <x:v>Normal</x:v>
      </x:c>
      <x:c r="D429" s="71" t="str">
        <x:v>FG-017</x:v>
      </x:c>
      <x:c r="E429" s="71" t="str">
        <x:v>RM-056</x:v>
      </x:c>
      <x:c r="F429" s="71" t="str">
        <x:v>Resin 056</x:v>
      </x:c>
      <x:c r="G429" s="76" t="n">
        <x:v>20</x:v>
      </x:c>
      <x:c r="H429" s="76" t="n">
        <x:v>73.02</x:v>
      </x:c>
      <x:c r="I429" s="76" t="n">
        <x:f>G429*H429</x:f>
        <x:v>1460.3999999999999</x:v>
      </x:c>
      <x:c r="J429" s="76" t="n">
        <x:f>IFERROR(INDEX('Inventory'!$E$2:$E$71,MATCH(E429,'Inventory'!$A$2:$A$71,0)),0)</x:f>
        <x:v>862</x:v>
      </x:c>
      <x:c r="K429" s="76" t="n">
        <x:f>IFERROR(INDEX('Inventory'!$F$2:$F$71,MATCH(E429,'Inventory'!$A$2:$A$71,0)),0)</x:f>
        <x:v>108</x:v>
      </x:c>
      <x:c r="L429" s="76" t="n">
        <x:f>SUMIFS('Open_POs'!$D$2:$D$26,'Open_POs'!$B$2:$B$26,E429,'Open_POs'!$E$2:$E$26,"&lt;="&amp;B429)</x:f>
        <x:v>0</x:v>
      </x:c>
      <x:c r="M429" s="76" t="n">
        <x:f>J429+L429</x:f>
        <x:v>862</x:v>
      </x:c>
      <x:c r="N429" s="76" t="n">
        <x:f>SUMIFS($I$2:I429,$E$2:E429,E429)</x:f>
        <x:v>13143.599999999999</x:v>
      </x:c>
      <x:c r="O429" s="76" t="n">
        <x:f>M429-N429</x:f>
        <x:v>-12281.599999999999</x:v>
      </x:c>
      <x:c r="P429" s="71" t="str">
        <x:f>IF(O429&lt;0,"SHORT",IF(O429&lt;K429,"BELOW TARGET","COVERED"))</x:f>
        <x:v>SHORT</x:v>
      </x:c>
      <x:c r="Q429" s="63" t="str">
        <x:f>IF(AND(P429="SHORT",COUNTIFS($E$2:E429,E429,$P$2:P429,"SHORT")=1),B429,"")</x:f>
      </x:c>
    </x:row>
    <x:row r="430" ht="15" customHeight="1">
      <x:c r="A430" s="71" t="str">
        <x:v>SO-26024</x:v>
      </x:c>
      <x:c r="B430" s="75" t="n">
        <x:v>46284</x:v>
      </x:c>
      <x:c r="C430" s="71" t="str">
        <x:v>Normal</x:v>
      </x:c>
      <x:c r="D430" s="71" t="str">
        <x:v>FG-017</x:v>
      </x:c>
      <x:c r="E430" s="71" t="str">
        <x:v>RM-059</x:v>
      </x:c>
      <x:c r="F430" s="71" t="str">
        <x:v>Additive 059</x:v>
      </x:c>
      <x:c r="G430" s="76" t="n">
        <x:v>20</x:v>
      </x:c>
      <x:c r="H430" s="76" t="n">
        <x:v>60.54</x:v>
      </x:c>
      <x:c r="I430" s="76" t="n">
        <x:f>G430*H430</x:f>
        <x:v>1210.8</x:v>
      </x:c>
      <x:c r="J430" s="76" t="n">
        <x:f>IFERROR(INDEX('Inventory'!$E$2:$E$71,MATCH(E430,'Inventory'!$A$2:$A$71,0)),0)</x:f>
        <x:v>10488</x:v>
      </x:c>
      <x:c r="K430" s="76" t="n">
        <x:f>IFERROR(INDEX('Inventory'!$F$2:$F$71,MATCH(E430,'Inventory'!$A$2:$A$71,0)),0)</x:f>
        <x:v>1442</x:v>
      </x:c>
      <x:c r="L430" s="76" t="n">
        <x:f>SUMIFS('Open_POs'!$D$2:$D$26,'Open_POs'!$B$2:$B$26,E430,'Open_POs'!$E$2:$E$26,"&lt;="&amp;B430)</x:f>
        <x:v>0</x:v>
      </x:c>
      <x:c r="M430" s="76" t="n">
        <x:f>J430+L430</x:f>
        <x:v>10488</x:v>
      </x:c>
      <x:c r="N430" s="76" t="n">
        <x:f>SUMIFS($I$2:I430,$E$2:E430,E430)</x:f>
        <x:v>44621.600000000006</x:v>
      </x:c>
      <x:c r="O430" s="76" t="n">
        <x:f>M430-N430</x:f>
        <x:v>-34133.600000000006</x:v>
      </x:c>
      <x:c r="P430" s="71" t="str">
        <x:f>IF(O430&lt;0,"SHORT",IF(O430&lt;K430,"BELOW TARGET","COVERED"))</x:f>
        <x:v>SHORT</x:v>
      </x:c>
      <x:c r="Q430" s="63" t="str">
        <x:f>IF(AND(P430="SHORT",COUNTIFS($E$2:E430,E430,$P$2:P430,"SHORT")=1),B430,"")</x:f>
      </x:c>
    </x:row>
    <x:row r="431" ht="15" customHeight="1">
      <x:c r="A431" s="71" t="str">
        <x:v>SO-26041</x:v>
      </x:c>
      <x:c r="B431" s="75" t="n">
        <x:v>46284</x:v>
      </x:c>
      <x:c r="C431" s="71" t="str">
        <x:v>Normal</x:v>
      </x:c>
      <x:c r="D431" s="71" t="str">
        <x:v>FG-009</x:v>
      </x:c>
      <x:c r="E431" s="71" t="str">
        <x:v>RM-021</x:v>
      </x:c>
      <x:c r="F431" s="71" t="str">
        <x:v>Resin 021</x:v>
      </x:c>
      <x:c r="G431" s="76" t="n">
        <x:v>50</x:v>
      </x:c>
      <x:c r="H431" s="76" t="n">
        <x:v>54.71</x:v>
      </x:c>
      <x:c r="I431" s="76" t="n">
        <x:f>G431*H431</x:f>
        <x:v>2735.5</x:v>
      </x:c>
      <x:c r="J431" s="76" t="n">
        <x:f>IFERROR(INDEX('Inventory'!$E$2:$E$71,MATCH(E431,'Inventory'!$A$2:$A$71,0)),0)</x:f>
        <x:v>8041</x:v>
      </x:c>
      <x:c r="K431" s="76" t="n">
        <x:f>IFERROR(INDEX('Inventory'!$F$2:$F$71,MATCH(E431,'Inventory'!$A$2:$A$71,0)),0)</x:f>
        <x:v>264</x:v>
      </x:c>
      <x:c r="L431" s="76" t="n">
        <x:f>SUMIFS('Open_POs'!$D$2:$D$26,'Open_POs'!$B$2:$B$26,E431,'Open_POs'!$E$2:$E$26,"&lt;="&amp;B431)</x:f>
        <x:v>0</x:v>
      </x:c>
      <x:c r="M431" s="76" t="n">
        <x:f>J431+L431</x:f>
        <x:v>8041</x:v>
      </x:c>
      <x:c r="N431" s="76" t="n">
        <x:f>SUMIFS($I$2:I431,$E$2:E431,E431)</x:f>
        <x:v>19266.1</x:v>
      </x:c>
      <x:c r="O431" s="76" t="n">
        <x:f>M431-N431</x:f>
        <x:v>-11225.099999999999</x:v>
      </x:c>
      <x:c r="P431" s="71" t="str">
        <x:f>IF(O431&lt;0,"SHORT",IF(O431&lt;K431,"BELOW TARGET","COVERED"))</x:f>
        <x:v>SHORT</x:v>
      </x:c>
      <x:c r="Q431" s="63" t="str">
        <x:f>IF(AND(P431="SHORT",COUNTIFS($E$2:E431,E431,$P$2:P431,"SHORT")=1),B431,"")</x:f>
      </x:c>
    </x:row>
    <x:row r="432" ht="15" customHeight="1">
      <x:c r="A432" s="71" t="str">
        <x:v>SO-26041</x:v>
      </x:c>
      <x:c r="B432" s="75" t="n">
        <x:v>46284</x:v>
      </x:c>
      <x:c r="C432" s="71" t="str">
        <x:v>Normal</x:v>
      </x:c>
      <x:c r="D432" s="71" t="str">
        <x:v>FG-009</x:v>
      </x:c>
      <x:c r="E432" s="71" t="str">
        <x:v>RM-023</x:v>
      </x:c>
      <x:c r="F432" s="71" t="str">
        <x:v>Filler 023</x:v>
      </x:c>
      <x:c r="G432" s="76" t="n">
        <x:v>50</x:v>
      </x:c>
      <x:c r="H432" s="76" t="n">
        <x:v>49.77</x:v>
      </x:c>
      <x:c r="I432" s="76" t="n">
        <x:f>G432*H432</x:f>
        <x:v>2488.5</x:v>
      </x:c>
      <x:c r="J432" s="76" t="n">
        <x:f>IFERROR(INDEX('Inventory'!$E$2:$E$71,MATCH(E432,'Inventory'!$A$2:$A$71,0)),0)</x:f>
        <x:v>3401</x:v>
      </x:c>
      <x:c r="K432" s="76" t="n">
        <x:f>IFERROR(INDEX('Inventory'!$F$2:$F$71,MATCH(E432,'Inventory'!$A$2:$A$71,0)),0)</x:f>
        <x:v>418</x:v>
      </x:c>
      <x:c r="L432" s="76" t="n">
        <x:f>SUMIFS('Open_POs'!$D$2:$D$26,'Open_POs'!$B$2:$B$26,E432,'Open_POs'!$E$2:$E$26,"&lt;="&amp;B432)</x:f>
        <x:v>0</x:v>
      </x:c>
      <x:c r="M432" s="76" t="n">
        <x:f>J432+L432</x:f>
        <x:v>3401</x:v>
      </x:c>
      <x:c r="N432" s="76" t="n">
        <x:f>SUMIFS($I$2:I432,$E$2:E432,E432)</x:f>
        <x:v>15492.3</x:v>
      </x:c>
      <x:c r="O432" s="76" t="n">
        <x:f>M432-N432</x:f>
        <x:v>-12091.3</x:v>
      </x:c>
      <x:c r="P432" s="71" t="str">
        <x:f>IF(O432&lt;0,"SHORT",IF(O432&lt;K432,"BELOW TARGET","COVERED"))</x:f>
        <x:v>SHORT</x:v>
      </x:c>
      <x:c r="Q432" s="63" t="str">
        <x:f>IF(AND(P432="SHORT",COUNTIFS($E$2:E432,E432,$P$2:P432,"SHORT")=1),B432,"")</x:f>
      </x:c>
    </x:row>
    <x:row r="433" ht="15" customHeight="1">
      <x:c r="A433" s="71" t="str">
        <x:v>SO-26041</x:v>
      </x:c>
      <x:c r="B433" s="75" t="n">
        <x:v>46284</x:v>
      </x:c>
      <x:c r="C433" s="71" t="str">
        <x:v>Normal</x:v>
      </x:c>
      <x:c r="D433" s="71" t="str">
        <x:v>FG-009</x:v>
      </x:c>
      <x:c r="E433" s="71" t="str">
        <x:v>RM-032</x:v>
      </x:c>
      <x:c r="F433" s="71" t="str">
        <x:v>Pigment 032</x:v>
      </x:c>
      <x:c r="G433" s="76" t="n">
        <x:v>50</x:v>
      </x:c>
      <x:c r="H433" s="76" t="n">
        <x:v>112.23</x:v>
      </x:c>
      <x:c r="I433" s="76" t="n">
        <x:f>G433*H433</x:f>
        <x:v>5611.5</x:v>
      </x:c>
      <x:c r="J433" s="76" t="n">
        <x:f>IFERROR(INDEX('Inventory'!$E$2:$E$71,MATCH(E433,'Inventory'!$A$2:$A$71,0)),0)</x:f>
        <x:v>674</x:v>
      </x:c>
      <x:c r="K433" s="76" t="n">
        <x:f>IFERROR(INDEX('Inventory'!$F$2:$F$71,MATCH(E433,'Inventory'!$A$2:$A$71,0)),0)</x:f>
        <x:v>1056</x:v>
      </x:c>
      <x:c r="L433" s="76" t="n">
        <x:f>SUMIFS('Open_POs'!$D$2:$D$26,'Open_POs'!$B$2:$B$26,E433,'Open_POs'!$E$2:$E$26,"&lt;="&amp;B433)</x:f>
        <x:v>2500</x:v>
      </x:c>
      <x:c r="M433" s="76" t="n">
        <x:f>J433+L433</x:f>
        <x:v>3174</x:v>
      </x:c>
      <x:c r="N433" s="76" t="n">
        <x:f>SUMIFS($I$2:I433,$E$2:E433,E433)</x:f>
        <x:v>71355.59999999999</x:v>
      </x:c>
      <x:c r="O433" s="76" t="n">
        <x:f>M433-N433</x:f>
        <x:v>-68181.59999999999</x:v>
      </x:c>
      <x:c r="P433" s="71" t="str">
        <x:f>IF(O433&lt;0,"SHORT",IF(O433&lt;K433,"BELOW TARGET","COVERED"))</x:f>
        <x:v>SHORT</x:v>
      </x:c>
      <x:c r="Q433" s="63" t="str">
        <x:f>IF(AND(P433="SHORT",COUNTIFS($E$2:E433,E433,$P$2:P433,"SHORT")=1),B433,"")</x:f>
      </x:c>
    </x:row>
    <x:row r="434" ht="15" customHeight="1">
      <x:c r="A434" s="71" t="str">
        <x:v>SO-26041</x:v>
      </x:c>
      <x:c r="B434" s="75" t="n">
        <x:v>46284</x:v>
      </x:c>
      <x:c r="C434" s="71" t="str">
        <x:v>Normal</x:v>
      </x:c>
      <x:c r="D434" s="71" t="str">
        <x:v>FG-009</x:v>
      </x:c>
      <x:c r="E434" s="71" t="str">
        <x:v>RM-050</x:v>
      </x:c>
      <x:c r="F434" s="71" t="str">
        <x:v>Packaging 050</x:v>
      </x:c>
      <x:c r="G434" s="76" t="n">
        <x:v>50</x:v>
      </x:c>
      <x:c r="H434" s="76" t="n">
        <x:v>108.31</x:v>
      </x:c>
      <x:c r="I434" s="76" t="n">
        <x:f>G434*H434</x:f>
        <x:v>5415.5</x:v>
      </x:c>
      <x:c r="J434" s="76" t="n">
        <x:f>IFERROR(INDEX('Inventory'!$E$2:$E$71,MATCH(E434,'Inventory'!$A$2:$A$71,0)),0)</x:f>
        <x:v>5370</x:v>
      </x:c>
      <x:c r="K434" s="76" t="n">
        <x:f>IFERROR(INDEX('Inventory'!$F$2:$F$71,MATCH(E434,'Inventory'!$A$2:$A$71,0)),0)</x:f>
        <x:v>1210</x:v>
      </x:c>
      <x:c r="L434" s="76" t="n">
        <x:f>SUMIFS('Open_POs'!$D$2:$D$26,'Open_POs'!$B$2:$B$26,E434,'Open_POs'!$E$2:$E$26,"&lt;="&amp;B434)</x:f>
        <x:v>2500</x:v>
      </x:c>
      <x:c r="M434" s="76" t="n">
        <x:f>J434+L434</x:f>
        <x:v>7870</x:v>
      </x:c>
      <x:c r="N434" s="76" t="n">
        <x:f>SUMIFS($I$2:I434,$E$2:E434,E434)</x:f>
        <x:v>12923.099999999999</x:v>
      </x:c>
      <x:c r="O434" s="76" t="n">
        <x:f>M434-N434</x:f>
        <x:v>-5053.0999999999985</x:v>
      </x:c>
      <x:c r="P434" s="71" t="str">
        <x:f>IF(O434&lt;0,"SHORT",IF(O434&lt;K434,"BELOW TARGET","COVERED"))</x:f>
        <x:v>SHORT</x:v>
      </x:c>
      <x:c r="Q434" s="63" t="str">
        <x:f>IF(AND(P434="SHORT",COUNTIFS($E$2:E434,E434,$P$2:P434,"SHORT")=1),B434,"")</x:f>
      </x:c>
    </x:row>
    <x:row r="435" ht="15" customHeight="1">
      <x:c r="A435" s="71" t="str">
        <x:v>SO-26041</x:v>
      </x:c>
      <x:c r="B435" s="75" t="n">
        <x:v>46284</x:v>
      </x:c>
      <x:c r="C435" s="71" t="str">
        <x:v>Normal</x:v>
      </x:c>
      <x:c r="D435" s="71" t="str">
        <x:v>FG-009</x:v>
      </x:c>
      <x:c r="E435" s="71" t="str">
        <x:v>RM-057</x:v>
      </x:c>
      <x:c r="F435" s="71" t="str">
        <x:v>Pigment 057</x:v>
      </x:c>
      <x:c r="G435" s="76" t="n">
        <x:v>50</x:v>
      </x:c>
      <x:c r="H435" s="76" t="n">
        <x:v>15.63</x:v>
      </x:c>
      <x:c r="I435" s="76" t="n">
        <x:f>G435*H435</x:f>
        <x:v>781.5</x:v>
      </x:c>
      <x:c r="J435" s="76" t="n">
        <x:f>IFERROR(INDEX('Inventory'!$E$2:$E$71,MATCH(E435,'Inventory'!$A$2:$A$71,0)),0)</x:f>
        <x:v>5779</x:v>
      </x:c>
      <x:c r="K435" s="76" t="n">
        <x:f>IFERROR(INDEX('Inventory'!$F$2:$F$71,MATCH(E435,'Inventory'!$A$2:$A$71,0)),0)</x:f>
        <x:v>1148</x:v>
      </x:c>
      <x:c r="L435" s="76" t="n">
        <x:f>SUMIFS('Open_POs'!$D$2:$D$26,'Open_POs'!$B$2:$B$26,E435,'Open_POs'!$E$2:$E$26,"&lt;="&amp;B435)</x:f>
        <x:v>2500</x:v>
      </x:c>
      <x:c r="M435" s="76" t="n">
        <x:f>J435+L435</x:f>
        <x:v>8279</x:v>
      </x:c>
      <x:c r="N435" s="76" t="n">
        <x:f>SUMIFS($I$2:I435,$E$2:E435,E435)</x:f>
        <x:v>8969.900000000001</x:v>
      </x:c>
      <x:c r="O435" s="76" t="n">
        <x:f>M435-N435</x:f>
        <x:v>-690.9000000000015</x:v>
      </x:c>
      <x:c r="P435" s="71" t="str">
        <x:f>IF(O435&lt;0,"SHORT",IF(O435&lt;K435,"BELOW TARGET","COVERED"))</x:f>
        <x:v>SHORT</x:v>
      </x:c>
      <x:c r="Q435" s="63" t="str">
        <x:f>IF(AND(P435="SHORT",COUNTIFS($E$2:E435,E435,$P$2:P435,"SHORT")=1),B435,"")</x:f>
      </x:c>
    </x:row>
    <x:row r="436" ht="15" customHeight="1">
      <x:c r="A436" s="71" t="str">
        <x:v>SO-26026</x:v>
      </x:c>
      <x:c r="B436" s="75" t="n">
        <x:v>46285</x:v>
      </x:c>
      <x:c r="C436" s="71" t="str">
        <x:v>Normal</x:v>
      </x:c>
      <x:c r="D436" s="71" t="str">
        <x:v>FG-022</x:v>
      </x:c>
      <x:c r="E436" s="71" t="str">
        <x:v>RM-005</x:v>
      </x:c>
      <x:c r="F436" s="71" t="str">
        <x:v>Packaging 005</x:v>
      </x:c>
      <x:c r="G436" s="76" t="n">
        <x:v>30</x:v>
      </x:c>
      <x:c r="H436" s="76" t="n">
        <x:v>17.79</x:v>
      </x:c>
      <x:c r="I436" s="76" t="n">
        <x:f>G436*H436</x:f>
        <x:v>533.6999999999999</x:v>
      </x:c>
      <x:c r="J436" s="76" t="n">
        <x:f>IFERROR(INDEX('Inventory'!$E$2:$E$71,MATCH(E436,'Inventory'!$A$2:$A$71,0)),0)</x:f>
        <x:v>8699</x:v>
      </x:c>
      <x:c r="K436" s="76" t="n">
        <x:f>IFERROR(INDEX('Inventory'!$F$2:$F$71,MATCH(E436,'Inventory'!$A$2:$A$71,0)),0)</x:f>
        <x:v>1174</x:v>
      </x:c>
      <x:c r="L436" s="76" t="n">
        <x:f>SUMIFS('Open_POs'!$D$2:$D$26,'Open_POs'!$B$2:$B$26,E436,'Open_POs'!$E$2:$E$26,"&lt;="&amp;B436)</x:f>
        <x:v>0</x:v>
      </x:c>
      <x:c r="M436" s="76" t="n">
        <x:f>J436+L436</x:f>
        <x:v>8699</x:v>
      </x:c>
      <x:c r="N436" s="76" t="n">
        <x:f>SUMIFS($I$2:I436,$E$2:E436,E436)</x:f>
        <x:v>41954.29999999999</x:v>
      </x:c>
      <x:c r="O436" s="76" t="n">
        <x:f>M436-N436</x:f>
        <x:v>-33255.29999999999</x:v>
      </x:c>
      <x:c r="P436" s="71" t="str">
        <x:f>IF(O436&lt;0,"SHORT",IF(O436&lt;K436,"BELOW TARGET","COVERED"))</x:f>
        <x:v>SHORT</x:v>
      </x:c>
      <x:c r="Q436" s="63" t="str">
        <x:f>IF(AND(P436="SHORT",COUNTIFS($E$2:E436,E436,$P$2:P436,"SHORT")=1),B436,"")</x:f>
      </x:c>
    </x:row>
    <x:row r="437" ht="15" customHeight="1">
      <x:c r="A437" s="71" t="str">
        <x:v>SO-26026</x:v>
      </x:c>
      <x:c r="B437" s="75" t="n">
        <x:v>46285</x:v>
      </x:c>
      <x:c r="C437" s="71" t="str">
        <x:v>Normal</x:v>
      </x:c>
      <x:c r="D437" s="71" t="str">
        <x:v>FG-022</x:v>
      </x:c>
      <x:c r="E437" s="71" t="str">
        <x:v>RM-015</x:v>
      </x:c>
      <x:c r="F437" s="71" t="str">
        <x:v>Packaging 015</x:v>
      </x:c>
      <x:c r="G437" s="76" t="n">
        <x:v>30</x:v>
      </x:c>
      <x:c r="H437" s="76" t="n">
        <x:v>10.04</x:v>
      </x:c>
      <x:c r="I437" s="76" t="n">
        <x:f>G437*H437</x:f>
        <x:v>301.2</x:v>
      </x:c>
      <x:c r="J437" s="76" t="n">
        <x:f>IFERROR(INDEX('Inventory'!$E$2:$E$71,MATCH(E437,'Inventory'!$A$2:$A$71,0)),0)</x:f>
        <x:v>8914</x:v>
      </x:c>
      <x:c r="K437" s="76" t="n">
        <x:f>IFERROR(INDEX('Inventory'!$F$2:$F$71,MATCH(E437,'Inventory'!$A$2:$A$71,0)),0)</x:f>
        <x:v>1380</x:v>
      </x:c>
      <x:c r="L437" s="76" t="n">
        <x:f>SUMIFS('Open_POs'!$D$2:$D$26,'Open_POs'!$B$2:$B$26,E437,'Open_POs'!$E$2:$E$26,"&lt;="&amp;B437)</x:f>
        <x:v>10000</x:v>
      </x:c>
      <x:c r="M437" s="76" t="n">
        <x:f>J437+L437</x:f>
        <x:v>18914</x:v>
      </x:c>
      <x:c r="N437" s="76" t="n">
        <x:f>SUMIFS($I$2:I437,$E$2:E437,E437)</x:f>
        <x:v>11427.6</x:v>
      </x:c>
      <x:c r="O437" s="76" t="n">
        <x:f>M437-N437</x:f>
        <x:v>7486.4</x:v>
      </x:c>
      <x:c r="P437" s="71" t="str">
        <x:f>IF(O437&lt;0,"SHORT",IF(O437&lt;K437,"BELOW TARGET","COVERED"))</x:f>
        <x:v>COVERED</x:v>
      </x:c>
      <x:c r="Q437" s="63" t="str">
        <x:f>IF(AND(P437="SHORT",COUNTIFS($E$2:E437,E437,$P$2:P437,"SHORT")=1),B437,"")</x:f>
      </x:c>
    </x:row>
    <x:row r="438" ht="15" customHeight="1">
      <x:c r="A438" s="71" t="str">
        <x:v>SO-26026</x:v>
      </x:c>
      <x:c r="B438" s="75" t="n">
        <x:v>46285</x:v>
      </x:c>
      <x:c r="C438" s="71" t="str">
        <x:v>Normal</x:v>
      </x:c>
      <x:c r="D438" s="71" t="str">
        <x:v>FG-022</x:v>
      </x:c>
      <x:c r="E438" s="71" t="str">
        <x:v>RM-024</x:v>
      </x:c>
      <x:c r="F438" s="71" t="str">
        <x:v>Additive 024</x:v>
      </x:c>
      <x:c r="G438" s="76" t="n">
        <x:v>30</x:v>
      </x:c>
      <x:c r="H438" s="76" t="n">
        <x:v>137.42</x:v>
      </x:c>
      <x:c r="I438" s="76" t="n">
        <x:f>G438*H438</x:f>
        <x:v>4122.599999999999</x:v>
      </x:c>
      <x:c r="J438" s="76" t="n">
        <x:f>IFERROR(INDEX('Inventory'!$E$2:$E$71,MATCH(E438,'Inventory'!$A$2:$A$71,0)),0)</x:f>
        <x:v>542</x:v>
      </x:c>
      <x:c r="K438" s="76" t="n">
        <x:f>IFERROR(INDEX('Inventory'!$F$2:$F$71,MATCH(E438,'Inventory'!$A$2:$A$71,0)),0)</x:f>
        <x:v>1356</x:v>
      </x:c>
      <x:c r="L438" s="76" t="n">
        <x:f>SUMIFS('Open_POs'!$D$2:$D$26,'Open_POs'!$B$2:$B$26,E438,'Open_POs'!$E$2:$E$26,"&lt;="&amp;B438)</x:f>
        <x:v>0</x:v>
      </x:c>
      <x:c r="M438" s="76" t="n">
        <x:f>J438+L438</x:f>
        <x:v>542</x:v>
      </x:c>
      <x:c r="N438" s="76" t="n">
        <x:f>SUMIFS($I$2:I438,$E$2:E438,E438)</x:f>
        <x:v>35753.8</x:v>
      </x:c>
      <x:c r="O438" s="76" t="n">
        <x:f>M438-N438</x:f>
        <x:v>-35211.8</x:v>
      </x:c>
      <x:c r="P438" s="71" t="str">
        <x:f>IF(O438&lt;0,"SHORT",IF(O438&lt;K438,"BELOW TARGET","COVERED"))</x:f>
        <x:v>SHORT</x:v>
      </x:c>
      <x:c r="Q438" s="63" t="str">
        <x:f>IF(AND(P438="SHORT",COUNTIFS($E$2:E438,E438,$P$2:P438,"SHORT")=1),B438,"")</x:f>
      </x:c>
    </x:row>
    <x:row r="439" ht="15" customHeight="1">
      <x:c r="A439" s="71" t="str">
        <x:v>SO-26026</x:v>
      </x:c>
      <x:c r="B439" s="75" t="n">
        <x:v>46285</x:v>
      </x:c>
      <x:c r="C439" s="71" t="str">
        <x:v>Normal</x:v>
      </x:c>
      <x:c r="D439" s="71" t="str">
        <x:v>FG-022</x:v>
      </x:c>
      <x:c r="E439" s="71" t="str">
        <x:v>RM-028</x:v>
      </x:c>
      <x:c r="F439" s="71" t="str">
        <x:v>Filler 028</x:v>
      </x:c>
      <x:c r="G439" s="76" t="n">
        <x:v>30</x:v>
      </x:c>
      <x:c r="H439" s="76" t="n">
        <x:v>14.86</x:v>
      </x:c>
      <x:c r="I439" s="76" t="n">
        <x:f>G439*H439</x:f>
        <x:v>445.79999999999995</x:v>
      </x:c>
      <x:c r="J439" s="76" t="n">
        <x:f>IFERROR(INDEX('Inventory'!$E$2:$E$71,MATCH(E439,'Inventory'!$A$2:$A$71,0)),0)</x:f>
        <x:v>14836</x:v>
      </x:c>
      <x:c r="K439" s="76" t="n">
        <x:f>IFERROR(INDEX('Inventory'!$F$2:$F$71,MATCH(E439,'Inventory'!$A$2:$A$71,0)),0)</x:f>
        <x:v>1498</x:v>
      </x:c>
      <x:c r="L439" s="76" t="n">
        <x:f>SUMIFS('Open_POs'!$D$2:$D$26,'Open_POs'!$B$2:$B$26,E439,'Open_POs'!$E$2:$E$26,"&lt;="&amp;B439)</x:f>
        <x:v>1000</x:v>
      </x:c>
      <x:c r="M439" s="76" t="n">
        <x:f>J439+L439</x:f>
        <x:v>15836</x:v>
      </x:c>
      <x:c r="N439" s="76" t="n">
        <x:f>SUMIFS($I$2:I439,$E$2:E439,E439)</x:f>
        <x:v>4496.4</x:v>
      </x:c>
      <x:c r="O439" s="76" t="n">
        <x:f>M439-N439</x:f>
        <x:v>11339.6</x:v>
      </x:c>
      <x:c r="P439" s="71" t="str">
        <x:f>IF(O439&lt;0,"SHORT",IF(O439&lt;K439,"BELOW TARGET","COVERED"))</x:f>
        <x:v>COVERED</x:v>
      </x:c>
      <x:c r="Q439" s="63" t="str">
        <x:f>IF(AND(P439="SHORT",COUNTIFS($E$2:E439,E439,$P$2:P439,"SHORT")=1),B439,"")</x:f>
      </x:c>
    </x:row>
    <x:row r="440" ht="15" customHeight="1">
      <x:c r="A440" s="71" t="str">
        <x:v>SO-26026</x:v>
      </x:c>
      <x:c r="B440" s="75" t="n">
        <x:v>46285</x:v>
      </x:c>
      <x:c r="C440" s="71" t="str">
        <x:v>Normal</x:v>
      </x:c>
      <x:c r="D440" s="71" t="str">
        <x:v>FG-022</x:v>
      </x:c>
      <x:c r="E440" s="71" t="str">
        <x:v>RM-038</x:v>
      </x:c>
      <x:c r="F440" s="71" t="str">
        <x:v>Filler 038</x:v>
      </x:c>
      <x:c r="G440" s="76" t="n">
        <x:v>30</x:v>
      </x:c>
      <x:c r="H440" s="76" t="n">
        <x:v>123.54</x:v>
      </x:c>
      <x:c r="I440" s="76" t="n">
        <x:f>G440*H440</x:f>
        <x:v>3706.2000000000003</x:v>
      </x:c>
      <x:c r="J440" s="76" t="n">
        <x:f>IFERROR(INDEX('Inventory'!$E$2:$E$71,MATCH(E440,'Inventory'!$A$2:$A$71,0)),0)</x:f>
        <x:v>10042</x:v>
      </x:c>
      <x:c r="K440" s="76" t="n">
        <x:f>IFERROR(INDEX('Inventory'!$F$2:$F$71,MATCH(E440,'Inventory'!$A$2:$A$71,0)),0)</x:f>
        <x:v>1452</x:v>
      </x:c>
      <x:c r="L440" s="76" t="n">
        <x:f>SUMIFS('Open_POs'!$D$2:$D$26,'Open_POs'!$B$2:$B$26,E440,'Open_POs'!$E$2:$E$26,"&lt;="&amp;B440)</x:f>
        <x:v>10000</x:v>
      </x:c>
      <x:c r="M440" s="76" t="n">
        <x:f>J440+L440</x:f>
        <x:v>20042</x:v>
      </x:c>
      <x:c r="N440" s="76" t="n">
        <x:f>SUMIFS($I$2:I440,$E$2:E440,E440)</x:f>
        <x:v>34143.299999999996</x:v>
      </x:c>
      <x:c r="O440" s="76" t="n">
        <x:f>M440-N440</x:f>
        <x:v>-14101.299999999996</x:v>
      </x:c>
      <x:c r="P440" s="71" t="str">
        <x:f>IF(O440&lt;0,"SHORT",IF(O440&lt;K440,"BELOW TARGET","COVERED"))</x:f>
        <x:v>SHORT</x:v>
      </x:c>
      <x:c r="Q440" s="63" t="str">
        <x:f>IF(AND(P440="SHORT",COUNTIFS($E$2:E440,E440,$P$2:P440,"SHORT")=1),B440,"")</x:f>
      </x:c>
    </x:row>
    <x:row r="441" ht="15" customHeight="1">
      <x:c r="A441" s="71" t="str">
        <x:v>SO-26026</x:v>
      </x:c>
      <x:c r="B441" s="75" t="n">
        <x:v>46285</x:v>
      </x:c>
      <x:c r="C441" s="71" t="str">
        <x:v>Normal</x:v>
      </x:c>
      <x:c r="D441" s="71" t="str">
        <x:v>FG-022</x:v>
      </x:c>
      <x:c r="E441" s="71" t="str">
        <x:v>RM-041</x:v>
      </x:c>
      <x:c r="F441" s="71" t="str">
        <x:v>Resin 041</x:v>
      </x:c>
      <x:c r="G441" s="76" t="n">
        <x:v>30</x:v>
      </x:c>
      <x:c r="H441" s="76" t="n">
        <x:v>97.02</x:v>
      </x:c>
      <x:c r="I441" s="76" t="n">
        <x:f>G441*H441</x:f>
        <x:v>2910.6</x:v>
      </x:c>
      <x:c r="J441" s="76" t="n">
        <x:f>IFERROR(INDEX('Inventory'!$E$2:$E$71,MATCH(E441,'Inventory'!$A$2:$A$71,0)),0)</x:f>
        <x:v>4635</x:v>
      </x:c>
      <x:c r="K441" s="76" t="n">
        <x:f>IFERROR(INDEX('Inventory'!$F$2:$F$71,MATCH(E441,'Inventory'!$A$2:$A$71,0)),0)</x:f>
        <x:v>987</x:v>
      </x:c>
      <x:c r="L441" s="76" t="n">
        <x:f>SUMIFS('Open_POs'!$D$2:$D$26,'Open_POs'!$B$2:$B$26,E441,'Open_POs'!$E$2:$E$26,"&lt;="&amp;B441)</x:f>
        <x:v>0</x:v>
      </x:c>
      <x:c r="M441" s="76" t="n">
        <x:f>J441+L441</x:f>
        <x:v>4635</x:v>
      </x:c>
      <x:c r="N441" s="76" t="n">
        <x:f>SUMIFS($I$2:I441,$E$2:E441,E441)</x:f>
        <x:v>19246.6</x:v>
      </x:c>
      <x:c r="O441" s="76" t="n">
        <x:f>M441-N441</x:f>
        <x:v>-14611.599999999999</x:v>
      </x:c>
      <x:c r="P441" s="71" t="str">
        <x:f>IF(O441&lt;0,"SHORT",IF(O441&lt;K441,"BELOW TARGET","COVERED"))</x:f>
        <x:v>SHORT</x:v>
      </x:c>
      <x:c r="Q441" s="63" t="str">
        <x:f>IF(AND(P441="SHORT",COUNTIFS($E$2:E441,E441,$P$2:P441,"SHORT")=1),B441,"")</x:f>
      </x:c>
    </x:row>
    <x:row r="442" ht="15" customHeight="1">
      <x:c r="A442" s="71" t="str">
        <x:v>SO-26026</x:v>
      </x:c>
      <x:c r="B442" s="75" t="n">
        <x:v>46285</x:v>
      </x:c>
      <x:c r="C442" s="71" t="str">
        <x:v>Normal</x:v>
      </x:c>
      <x:c r="D442" s="71" t="str">
        <x:v>FG-022</x:v>
      </x:c>
      <x:c r="E442" s="71" t="str">
        <x:v>RM-060</x:v>
      </x:c>
      <x:c r="F442" s="71" t="str">
        <x:v>Packaging 060</x:v>
      </x:c>
      <x:c r="G442" s="76" t="n">
        <x:v>30</x:v>
      </x:c>
      <x:c r="H442" s="76" t="n">
        <x:v>108.66</x:v>
      </x:c>
      <x:c r="I442" s="76" t="n">
        <x:f>G442*H442</x:f>
        <x:v>3259.7999999999997</x:v>
      </x:c>
      <x:c r="J442" s="76" t="n">
        <x:f>IFERROR(INDEX('Inventory'!$E$2:$E$71,MATCH(E442,'Inventory'!$A$2:$A$71,0)),0)</x:f>
        <x:v>17534</x:v>
      </x:c>
      <x:c r="K442" s="76" t="n">
        <x:f>IFERROR(INDEX('Inventory'!$F$2:$F$71,MATCH(E442,'Inventory'!$A$2:$A$71,0)),0)</x:f>
        <x:v>189</x:v>
      </x:c>
      <x:c r="L442" s="76" t="n">
        <x:f>SUMIFS('Open_POs'!$D$2:$D$26,'Open_POs'!$B$2:$B$26,E442,'Open_POs'!$E$2:$E$26,"&lt;="&amp;B442)</x:f>
        <x:v>5000</x:v>
      </x:c>
      <x:c r="M442" s="76" t="n">
        <x:f>J442+L442</x:f>
        <x:v>22534</x:v>
      </x:c>
      <x:c r="N442" s="76" t="n">
        <x:f>SUMIFS($I$2:I442,$E$2:E442,E442)</x:f>
        <x:v>14140.8</x:v>
      </x:c>
      <x:c r="O442" s="76" t="n">
        <x:f>M442-N442</x:f>
        <x:v>8393.2</x:v>
      </x:c>
      <x:c r="P442" s="71" t="str">
        <x:f>IF(O442&lt;0,"SHORT",IF(O442&lt;K442,"BELOW TARGET","COVERED"))</x:f>
        <x:v>COVERED</x:v>
      </x:c>
      <x:c r="Q442" s="63" t="str">
        <x:f>IF(AND(P442="SHORT",COUNTIFS($E$2:E442,E442,$P$2:P442,"SHORT")=1),B442,"")</x:f>
      </x:c>
    </x:row>
    <x:row r="443" ht="15" customHeight="1">
      <x:c r="A443" s="71" t="str">
        <x:v>SO-26026</x:v>
      </x:c>
      <x:c r="B443" s="75" t="n">
        <x:v>46285</x:v>
      </x:c>
      <x:c r="C443" s="71" t="str">
        <x:v>Normal</x:v>
      </x:c>
      <x:c r="D443" s="71" t="str">
        <x:v>FG-022</x:v>
      </x:c>
      <x:c r="E443" s="71" t="str">
        <x:v>RM-062</x:v>
      </x:c>
      <x:c r="F443" s="71" t="str">
        <x:v>Pigment 062</x:v>
      </x:c>
      <x:c r="G443" s="76" t="n">
        <x:v>30</x:v>
      </x:c>
      <x:c r="H443" s="76" t="n">
        <x:v>26.71</x:v>
      </x:c>
      <x:c r="I443" s="76" t="n">
        <x:f>G443*H443</x:f>
        <x:v>801.3000000000001</x:v>
      </x:c>
      <x:c r="J443" s="76" t="n">
        <x:f>IFERROR(INDEX('Inventory'!$E$2:$E$71,MATCH(E443,'Inventory'!$A$2:$A$71,0)),0)</x:f>
        <x:v>7110</x:v>
      </x:c>
      <x:c r="K443" s="76" t="n">
        <x:f>IFERROR(INDEX('Inventory'!$F$2:$F$71,MATCH(E443,'Inventory'!$A$2:$A$71,0)),0)</x:f>
        <x:v>1339</x:v>
      </x:c>
      <x:c r="L443" s="76" t="n">
        <x:f>SUMIFS('Open_POs'!$D$2:$D$26,'Open_POs'!$B$2:$B$26,E443,'Open_POs'!$E$2:$E$26,"&lt;="&amp;B443)</x:f>
        <x:v>1000</x:v>
      </x:c>
      <x:c r="M443" s="76" t="n">
        <x:f>J443+L443</x:f>
        <x:v>8110</x:v>
      </x:c>
      <x:c r="N443" s="76" t="n">
        <x:f>SUMIFS($I$2:I443,$E$2:E443,E443)</x:f>
        <x:v>6386.7</x:v>
      </x:c>
      <x:c r="O443" s="76" t="n">
        <x:f>M443-N443</x:f>
        <x:v>1723.3000000000002</x:v>
      </x:c>
      <x:c r="P443" s="71" t="str">
        <x:f>IF(O443&lt;0,"SHORT",IF(O443&lt;K443,"BELOW TARGET","COVERED"))</x:f>
        <x:v>COVERED</x:v>
      </x:c>
      <x:c r="Q443" s="63" t="str">
        <x:f>IF(AND(P443="SHORT",COUNTIFS($E$2:E443,E443,$P$2:P443,"SHORT")=1),B443,"")</x:f>
      </x:c>
    </x:row>
    <x:row r="444" ht="15" customHeight="1">
      <x:c r="A444" s="71" t="str">
        <x:v>SO-26054</x:v>
      </x:c>
      <x:c r="B444" s="75" t="n">
        <x:v>46285</x:v>
      </x:c>
      <x:c r="C444" s="71" t="str">
        <x:v>Normal</x:v>
      </x:c>
      <x:c r="D444" s="71" t="str">
        <x:v>FG-012</x:v>
      </x:c>
      <x:c r="E444" s="71" t="str">
        <x:v>RM-009</x:v>
      </x:c>
      <x:c r="F444" s="71" t="str">
        <x:v>Additive 009</x:v>
      </x:c>
      <x:c r="G444" s="76" t="n">
        <x:v>10</x:v>
      </x:c>
      <x:c r="H444" s="76" t="n">
        <x:v>142.56</x:v>
      </x:c>
      <x:c r="I444" s="76" t="n">
        <x:f>G444*H444</x:f>
        <x:v>1425.6</x:v>
      </x:c>
      <x:c r="J444" s="76" t="n">
        <x:f>IFERROR(INDEX('Inventory'!$E$2:$E$71,MATCH(E444,'Inventory'!$A$2:$A$71,0)),0)</x:f>
        <x:v>13813</x:v>
      </x:c>
      <x:c r="K444" s="76" t="n">
        <x:f>IFERROR(INDEX('Inventory'!$F$2:$F$71,MATCH(E444,'Inventory'!$A$2:$A$71,0)),0)</x:f>
        <x:v>1377</x:v>
      </x:c>
      <x:c r="L444" s="76" t="n">
        <x:f>SUMIFS('Open_POs'!$D$2:$D$26,'Open_POs'!$B$2:$B$26,E444,'Open_POs'!$E$2:$E$26,"&lt;="&amp;B444)</x:f>
        <x:v>0</x:v>
      </x:c>
      <x:c r="M444" s="76" t="n">
        <x:f>J444+L444</x:f>
        <x:v>13813</x:v>
      </x:c>
      <x:c r="N444" s="76" t="n">
        <x:f>SUMIFS($I$2:I444,$E$2:E444,E444)</x:f>
        <x:v>48719.8</x:v>
      </x:c>
      <x:c r="O444" s="76" t="n">
        <x:f>M444-N444</x:f>
        <x:v>-34906.8</x:v>
      </x:c>
      <x:c r="P444" s="71" t="str">
        <x:f>IF(O444&lt;0,"SHORT",IF(O444&lt;K444,"BELOW TARGET","COVERED"))</x:f>
        <x:v>SHORT</x:v>
      </x:c>
      <x:c r="Q444" s="63" t="str">
        <x:f>IF(AND(P444="SHORT",COUNTIFS($E$2:E444,E444,$P$2:P444,"SHORT")=1),B444,"")</x:f>
      </x:c>
    </x:row>
    <x:row r="445" ht="15" customHeight="1">
      <x:c r="A445" s="71" t="str">
        <x:v>SO-26054</x:v>
      </x:c>
      <x:c r="B445" s="75" t="n">
        <x:v>46285</x:v>
      </x:c>
      <x:c r="C445" s="71" t="str">
        <x:v>Normal</x:v>
      </x:c>
      <x:c r="D445" s="71" t="str">
        <x:v>FG-012</x:v>
      </x:c>
      <x:c r="E445" s="71" t="str">
        <x:v>RM-016</x:v>
      </x:c>
      <x:c r="F445" s="71" t="str">
        <x:v>Resin 016</x:v>
      </x:c>
      <x:c r="G445" s="76" t="n">
        <x:v>10</x:v>
      </x:c>
      <x:c r="H445" s="76" t="n">
        <x:v>21.81</x:v>
      </x:c>
      <x:c r="I445" s="76" t="n">
        <x:f>G445*H445</x:f>
        <x:v>218.1</x:v>
      </x:c>
      <x:c r="J445" s="76" t="n">
        <x:f>IFERROR(INDEX('Inventory'!$E$2:$E$71,MATCH(E445,'Inventory'!$A$2:$A$71,0)),0)</x:f>
        <x:v>116</x:v>
      </x:c>
      <x:c r="K445" s="76" t="n">
        <x:f>IFERROR(INDEX('Inventory'!$F$2:$F$71,MATCH(E445,'Inventory'!$A$2:$A$71,0)),0)</x:f>
        <x:v>888</x:v>
      </x:c>
      <x:c r="L445" s="76" t="n">
        <x:f>SUMIFS('Open_POs'!$D$2:$D$26,'Open_POs'!$B$2:$B$26,E445,'Open_POs'!$E$2:$E$26,"&lt;="&amp;B445)</x:f>
        <x:v>0</x:v>
      </x:c>
      <x:c r="M445" s="76" t="n">
        <x:f>J445+L445</x:f>
        <x:v>116</x:v>
      </x:c>
      <x:c r="N445" s="76" t="n">
        <x:f>SUMIFS($I$2:I445,$E$2:E445,E445)</x:f>
        <x:v>13782.7</x:v>
      </x:c>
      <x:c r="O445" s="76" t="n">
        <x:f>M445-N445</x:f>
        <x:v>-13666.7</x:v>
      </x:c>
      <x:c r="P445" s="71" t="str">
        <x:f>IF(O445&lt;0,"SHORT",IF(O445&lt;K445,"BELOW TARGET","COVERED"))</x:f>
        <x:v>SHORT</x:v>
      </x:c>
      <x:c r="Q445" s="63" t="str">
        <x:f>IF(AND(P445="SHORT",COUNTIFS($E$2:E445,E445,$P$2:P445,"SHORT")=1),B445,"")</x:f>
      </x:c>
    </x:row>
    <x:row r="446" ht="15" customHeight="1">
      <x:c r="A446" s="71" t="str">
        <x:v>SO-26054</x:v>
      </x:c>
      <x:c r="B446" s="75" t="n">
        <x:v>46285</x:v>
      </x:c>
      <x:c r="C446" s="71" t="str">
        <x:v>Normal</x:v>
      </x:c>
      <x:c r="D446" s="71" t="str">
        <x:v>FG-012</x:v>
      </x:c>
      <x:c r="E446" s="71" t="str">
        <x:v>RM-024</x:v>
      </x:c>
      <x:c r="F446" s="71" t="str">
        <x:v>Additive 024</x:v>
      </x:c>
      <x:c r="G446" s="76" t="n">
        <x:v>10</x:v>
      </x:c>
      <x:c r="H446" s="76" t="n">
        <x:v>20.92</x:v>
      </x:c>
      <x:c r="I446" s="76" t="n">
        <x:f>G446*H446</x:f>
        <x:v>209.20000000000002</x:v>
      </x:c>
      <x:c r="J446" s="76" t="n">
        <x:f>IFERROR(INDEX('Inventory'!$E$2:$E$71,MATCH(E446,'Inventory'!$A$2:$A$71,0)),0)</x:f>
        <x:v>542</x:v>
      </x:c>
      <x:c r="K446" s="76" t="n">
        <x:f>IFERROR(INDEX('Inventory'!$F$2:$F$71,MATCH(E446,'Inventory'!$A$2:$A$71,0)),0)</x:f>
        <x:v>1356</x:v>
      </x:c>
      <x:c r="L446" s="76" t="n">
        <x:f>SUMIFS('Open_POs'!$D$2:$D$26,'Open_POs'!$B$2:$B$26,E446,'Open_POs'!$E$2:$E$26,"&lt;="&amp;B446)</x:f>
        <x:v>0</x:v>
      </x:c>
      <x:c r="M446" s="76" t="n">
        <x:f>J446+L446</x:f>
        <x:v>542</x:v>
      </x:c>
      <x:c r="N446" s="76" t="n">
        <x:f>SUMIFS($I$2:I446,$E$2:E446,E446)</x:f>
        <x:v>35963</x:v>
      </x:c>
      <x:c r="O446" s="76" t="n">
        <x:f>M446-N446</x:f>
        <x:v>-35421</x:v>
      </x:c>
      <x:c r="P446" s="71" t="str">
        <x:f>IF(O446&lt;0,"SHORT",IF(O446&lt;K446,"BELOW TARGET","COVERED"))</x:f>
        <x:v>SHORT</x:v>
      </x:c>
      <x:c r="Q446" s="63" t="str">
        <x:f>IF(AND(P446="SHORT",COUNTIFS($E$2:E446,E446,$P$2:P446,"SHORT")=1),B446,"")</x:f>
      </x:c>
    </x:row>
    <x:row r="447" ht="15" customHeight="1">
      <x:c r="A447" s="71" t="str">
        <x:v>SO-26054</x:v>
      </x:c>
      <x:c r="B447" s="75" t="n">
        <x:v>46285</x:v>
      </x:c>
      <x:c r="C447" s="71" t="str">
        <x:v>Normal</x:v>
      </x:c>
      <x:c r="D447" s="71" t="str">
        <x:v>FG-012</x:v>
      </x:c>
      <x:c r="E447" s="71" t="str">
        <x:v>RM-027</x:v>
      </x:c>
      <x:c r="F447" s="71" t="str">
        <x:v>Pigment 027</x:v>
      </x:c>
      <x:c r="G447" s="76" t="n">
        <x:v>10</x:v>
      </x:c>
      <x:c r="H447" s="76" t="n">
        <x:v>82.49</x:v>
      </x:c>
      <x:c r="I447" s="76" t="n">
        <x:f>G447*H447</x:f>
        <x:v>824.9</x:v>
      </x:c>
      <x:c r="J447" s="76" t="n">
        <x:f>IFERROR(INDEX('Inventory'!$E$2:$E$71,MATCH(E447,'Inventory'!$A$2:$A$71,0)),0)</x:f>
        <x:v>5600</x:v>
      </x:c>
      <x:c r="K447" s="76" t="n">
        <x:f>IFERROR(INDEX('Inventory'!$F$2:$F$71,MATCH(E447,'Inventory'!$A$2:$A$71,0)),0)</x:f>
        <x:v>267</x:v>
      </x:c>
      <x:c r="L447" s="76" t="n">
        <x:f>SUMIFS('Open_POs'!$D$2:$D$26,'Open_POs'!$B$2:$B$26,E447,'Open_POs'!$E$2:$E$26,"&lt;="&amp;B447)</x:f>
        <x:v>0</x:v>
      </x:c>
      <x:c r="M447" s="76" t="n">
        <x:f>J447+L447</x:f>
        <x:v>5600</x:v>
      </x:c>
      <x:c r="N447" s="76" t="n">
        <x:f>SUMIFS($I$2:I447,$E$2:E447,E447)</x:f>
        <x:v>17845</x:v>
      </x:c>
      <x:c r="O447" s="76" t="n">
        <x:f>M447-N447</x:f>
        <x:v>-12245</x:v>
      </x:c>
      <x:c r="P447" s="71" t="str">
        <x:f>IF(O447&lt;0,"SHORT",IF(O447&lt;K447,"BELOW TARGET","COVERED"))</x:f>
        <x:v>SHORT</x:v>
      </x:c>
      <x:c r="Q447" s="63" t="str">
        <x:f>IF(AND(P447="SHORT",COUNTIFS($E$2:E447,E447,$P$2:P447,"SHORT")=1),B447,"")</x:f>
      </x:c>
    </x:row>
    <x:row r="448" ht="15" customHeight="1">
      <x:c r="A448" s="71" t="str">
        <x:v>SO-26054</x:v>
      </x:c>
      <x:c r="B448" s="75" t="n">
        <x:v>46285</x:v>
      </x:c>
      <x:c r="C448" s="71" t="str">
        <x:v>Normal</x:v>
      </x:c>
      <x:c r="D448" s="71" t="str">
        <x:v>FG-012</x:v>
      </x:c>
      <x:c r="E448" s="71" t="str">
        <x:v>RM-037</x:v>
      </x:c>
      <x:c r="F448" s="71" t="str">
        <x:v>Pigment 037</x:v>
      </x:c>
      <x:c r="G448" s="76" t="n">
        <x:v>10</x:v>
      </x:c>
      <x:c r="H448" s="76" t="n">
        <x:v>140.04</x:v>
      </x:c>
      <x:c r="I448" s="76" t="n">
        <x:f>G448*H448</x:f>
        <x:v>1400.3999999999999</x:v>
      </x:c>
      <x:c r="J448" s="76" t="n">
        <x:f>IFERROR(INDEX('Inventory'!$E$2:$E$71,MATCH(E448,'Inventory'!$A$2:$A$71,0)),0)</x:f>
        <x:v>14210</x:v>
      </x:c>
      <x:c r="K448" s="76" t="n">
        <x:f>IFERROR(INDEX('Inventory'!$F$2:$F$71,MATCH(E448,'Inventory'!$A$2:$A$71,0)),0)</x:f>
        <x:v>850</x:v>
      </x:c>
      <x:c r="L448" s="76" t="n">
        <x:f>SUMIFS('Open_POs'!$D$2:$D$26,'Open_POs'!$B$2:$B$26,E448,'Open_POs'!$E$2:$E$26,"&lt;="&amp;B448)</x:f>
        <x:v>2500</x:v>
      </x:c>
      <x:c r="M448" s="76" t="n">
        <x:f>J448+L448</x:f>
        <x:v>16710</x:v>
      </x:c>
      <x:c r="N448" s="76" t="n">
        <x:f>SUMIFS($I$2:I448,$E$2:E448,E448)</x:f>
        <x:v>17998.199999999997</x:v>
      </x:c>
      <x:c r="O448" s="76" t="n">
        <x:f>M448-N448</x:f>
        <x:v>-1288.199999999997</x:v>
      </x:c>
      <x:c r="P448" s="71" t="str">
        <x:f>IF(O448&lt;0,"SHORT",IF(O448&lt;K448,"BELOW TARGET","COVERED"))</x:f>
        <x:v>SHORT</x:v>
      </x:c>
      <x:c r="Q448" s="63" t="n">
        <x:f>IF(AND(P448="SHORT",COUNTIFS($E$2:E448,E448,$P$2:P448,"SHORT")=1),B448,"")</x:f>
        <x:v>46285</x:v>
      </x:c>
    </x:row>
    <x:row r="449" ht="15" customHeight="1">
      <x:c r="A449" s="71" t="str">
        <x:v>SO-26054</x:v>
      </x:c>
      <x:c r="B449" s="75" t="n">
        <x:v>46285</x:v>
      </x:c>
      <x:c r="C449" s="71" t="str">
        <x:v>Normal</x:v>
      </x:c>
      <x:c r="D449" s="71" t="str">
        <x:v>FG-012</x:v>
      </x:c>
      <x:c r="E449" s="71" t="str">
        <x:v>RM-038</x:v>
      </x:c>
      <x:c r="F449" s="71" t="str">
        <x:v>Filler 038</x:v>
      </x:c>
      <x:c r="G449" s="76" t="n">
        <x:v>10</x:v>
      </x:c>
      <x:c r="H449" s="76" t="n">
        <x:v>76.43</x:v>
      </x:c>
      <x:c r="I449" s="76" t="n">
        <x:f>G449*H449</x:f>
        <x:v>764.3000000000001</x:v>
      </x:c>
      <x:c r="J449" s="76" t="n">
        <x:f>IFERROR(INDEX('Inventory'!$E$2:$E$71,MATCH(E449,'Inventory'!$A$2:$A$71,0)),0)</x:f>
        <x:v>10042</x:v>
      </x:c>
      <x:c r="K449" s="76" t="n">
        <x:f>IFERROR(INDEX('Inventory'!$F$2:$F$71,MATCH(E449,'Inventory'!$A$2:$A$71,0)),0)</x:f>
        <x:v>1452</x:v>
      </x:c>
      <x:c r="L449" s="76" t="n">
        <x:f>SUMIFS('Open_POs'!$D$2:$D$26,'Open_POs'!$B$2:$B$26,E449,'Open_POs'!$E$2:$E$26,"&lt;="&amp;B449)</x:f>
        <x:v>10000</x:v>
      </x:c>
      <x:c r="M449" s="76" t="n">
        <x:f>J449+L449</x:f>
        <x:v>20042</x:v>
      </x:c>
      <x:c r="N449" s="76" t="n">
        <x:f>SUMIFS($I$2:I449,$E$2:E449,E449)</x:f>
        <x:v>34907.6</x:v>
      </x:c>
      <x:c r="O449" s="76" t="n">
        <x:f>M449-N449</x:f>
        <x:v>-14865.599999999999</x:v>
      </x:c>
      <x:c r="P449" s="71" t="str">
        <x:f>IF(O449&lt;0,"SHORT",IF(O449&lt;K449,"BELOW TARGET","COVERED"))</x:f>
        <x:v>SHORT</x:v>
      </x:c>
      <x:c r="Q449" s="63" t="str">
        <x:f>IF(AND(P449="SHORT",COUNTIFS($E$2:E449,E449,$P$2:P449,"SHORT")=1),B449,"")</x:f>
      </x:c>
    </x:row>
    <x:row r="450" ht="15" customHeight="1">
      <x:c r="A450" s="71" t="str">
        <x:v>SO-26054</x:v>
      </x:c>
      <x:c r="B450" s="75" t="n">
        <x:v>46285</x:v>
      </x:c>
      <x:c r="C450" s="71" t="str">
        <x:v>Normal</x:v>
      </x:c>
      <x:c r="D450" s="71" t="str">
        <x:v>FG-012</x:v>
      </x:c>
      <x:c r="E450" s="71" t="str">
        <x:v>RM-039</x:v>
      </x:c>
      <x:c r="F450" s="71" t="str">
        <x:v>Additive 039</x:v>
      </x:c>
      <x:c r="G450" s="76" t="n">
        <x:v>10</x:v>
      </x:c>
      <x:c r="H450" s="76" t="n">
        <x:v>125.26</x:v>
      </x:c>
      <x:c r="I450" s="76" t="n">
        <x:f>G450*H450</x:f>
        <x:v>1252.6000000000001</x:v>
      </x:c>
      <x:c r="J450" s="76" t="n">
        <x:f>IFERROR(INDEX('Inventory'!$E$2:$E$71,MATCH(E450,'Inventory'!$A$2:$A$71,0)),0)</x:f>
        <x:v>15593</x:v>
      </x:c>
      <x:c r="K450" s="76" t="n">
        <x:f>IFERROR(INDEX('Inventory'!$F$2:$F$71,MATCH(E450,'Inventory'!$A$2:$A$71,0)),0)</x:f>
        <x:v>1243</x:v>
      </x:c>
      <x:c r="L450" s="76" t="n">
        <x:f>SUMIFS('Open_POs'!$D$2:$D$26,'Open_POs'!$B$2:$B$26,E450,'Open_POs'!$E$2:$E$26,"&lt;="&amp;B450)</x:f>
        <x:v>0</x:v>
      </x:c>
      <x:c r="M450" s="76" t="n">
        <x:f>J450+L450</x:f>
        <x:v>15593</x:v>
      </x:c>
      <x:c r="N450" s="76" t="n">
        <x:f>SUMIFS($I$2:I450,$E$2:E450,E450)</x:f>
        <x:v>45622.59999999999</x:v>
      </x:c>
      <x:c r="O450" s="76" t="n">
        <x:f>M450-N450</x:f>
        <x:v>-30029.59999999999</x:v>
      </x:c>
      <x:c r="P450" s="71" t="str">
        <x:f>IF(O450&lt;0,"SHORT",IF(O450&lt;K450,"BELOW TARGET","COVERED"))</x:f>
        <x:v>SHORT</x:v>
      </x:c>
      <x:c r="Q450" s="63" t="str">
        <x:f>IF(AND(P450="SHORT",COUNTIFS($E$2:E450,E450,$P$2:P450,"SHORT")=1),B450,"")</x:f>
      </x:c>
    </x:row>
    <x:row r="451" ht="15" customHeight="1">
      <x:c r="A451" s="71" t="str">
        <x:v>SO-26054</x:v>
      </x:c>
      <x:c r="B451" s="75" t="n">
        <x:v>46285</x:v>
      </x:c>
      <x:c r="C451" s="71" t="str">
        <x:v>Normal</x:v>
      </x:c>
      <x:c r="D451" s="71" t="str">
        <x:v>FG-012</x:v>
      </x:c>
      <x:c r="E451" s="71" t="str">
        <x:v>RM-057</x:v>
      </x:c>
      <x:c r="F451" s="71" t="str">
        <x:v>Pigment 057</x:v>
      </x:c>
      <x:c r="G451" s="76" t="n">
        <x:v>10</x:v>
      </x:c>
      <x:c r="H451" s="76" t="n">
        <x:v>37.88</x:v>
      </x:c>
      <x:c r="I451" s="76" t="n">
        <x:f>G451*H451</x:f>
        <x:v>378.8</x:v>
      </x:c>
      <x:c r="J451" s="76" t="n">
        <x:f>IFERROR(INDEX('Inventory'!$E$2:$E$71,MATCH(E451,'Inventory'!$A$2:$A$71,0)),0)</x:f>
        <x:v>5779</x:v>
      </x:c>
      <x:c r="K451" s="76" t="n">
        <x:f>IFERROR(INDEX('Inventory'!$F$2:$F$71,MATCH(E451,'Inventory'!$A$2:$A$71,0)),0)</x:f>
        <x:v>1148</x:v>
      </x:c>
      <x:c r="L451" s="76" t="n">
        <x:f>SUMIFS('Open_POs'!$D$2:$D$26,'Open_POs'!$B$2:$B$26,E451,'Open_POs'!$E$2:$E$26,"&lt;="&amp;B451)</x:f>
        <x:v>2500</x:v>
      </x:c>
      <x:c r="M451" s="76" t="n">
        <x:f>J451+L451</x:f>
        <x:v>8279</x:v>
      </x:c>
      <x:c r="N451" s="76" t="n">
        <x:f>SUMIFS($I$2:I451,$E$2:E451,E451)</x:f>
        <x:v>9348.7</x:v>
      </x:c>
      <x:c r="O451" s="76" t="n">
        <x:f>M451-N451</x:f>
        <x:v>-1069.7000000000007</x:v>
      </x:c>
      <x:c r="P451" s="71" t="str">
        <x:f>IF(O451&lt;0,"SHORT",IF(O451&lt;K451,"BELOW TARGET","COVERED"))</x:f>
        <x:v>SHORT</x:v>
      </x:c>
      <x:c r="Q451" s="63" t="str">
        <x:f>IF(AND(P451="SHORT",COUNTIFS($E$2:E451,E451,$P$2:P451,"SHORT")=1),B451,"")</x:f>
      </x:c>
    </x:row>
    <x:row r="452" ht="15" customHeight="1">
      <x:c r="A452" s="71" t="str">
        <x:v>SO-26087</x:v>
      </x:c>
      <x:c r="B452" s="75" t="n">
        <x:v>46285</x:v>
      </x:c>
      <x:c r="C452" s="71" t="str">
        <x:v>Normal</x:v>
      </x:c>
      <x:c r="D452" s="71" t="str">
        <x:v>FG-017</x:v>
      </x:c>
      <x:c r="E452" s="71" t="str">
        <x:v>RM-003</x:v>
      </x:c>
      <x:c r="F452" s="71" t="str">
        <x:v>Filler 003</x:v>
      </x:c>
      <x:c r="G452" s="76" t="n">
        <x:v>50</x:v>
      </x:c>
      <x:c r="H452" s="76" t="n">
        <x:v>60.21</x:v>
      </x:c>
      <x:c r="I452" s="76" t="n">
        <x:f>G452*H452</x:f>
        <x:v>3010.5</x:v>
      </x:c>
      <x:c r="J452" s="76" t="n">
        <x:f>IFERROR(INDEX('Inventory'!$E$2:$E$71,MATCH(E452,'Inventory'!$A$2:$A$71,0)),0)</x:f>
        <x:v>15564</x:v>
      </x:c>
      <x:c r="K452" s="76" t="n">
        <x:f>IFERROR(INDEX('Inventory'!$F$2:$F$71,MATCH(E452,'Inventory'!$A$2:$A$71,0)),0)</x:f>
        <x:v>174</x:v>
      </x:c>
      <x:c r="L452" s="76" t="n">
        <x:f>SUMIFS('Open_POs'!$D$2:$D$26,'Open_POs'!$B$2:$B$26,E452,'Open_POs'!$E$2:$E$26,"&lt;="&amp;B452)</x:f>
        <x:v>0</x:v>
      </x:c>
      <x:c r="M452" s="76" t="n">
        <x:f>J452+L452</x:f>
        <x:v>15564</x:v>
      </x:c>
      <x:c r="N452" s="76" t="n">
        <x:f>SUMIFS($I$2:I452,$E$2:E452,E452)</x:f>
        <x:v>13848.300000000001</x:v>
      </x:c>
      <x:c r="O452" s="76" t="n">
        <x:f>M452-N452</x:f>
        <x:v>1715.699999999999</x:v>
      </x:c>
      <x:c r="P452" s="71" t="str">
        <x:f>IF(O452&lt;0,"SHORT",IF(O452&lt;K452,"BELOW TARGET","COVERED"))</x:f>
        <x:v>COVERED</x:v>
      </x:c>
      <x:c r="Q452" s="63" t="str">
        <x:f>IF(AND(P452="SHORT",COUNTIFS($E$2:E452,E452,$P$2:P452,"SHORT")=1),B452,"")</x:f>
      </x:c>
    </x:row>
    <x:row r="453" ht="15" customHeight="1">
      <x:c r="A453" s="71" t="str">
        <x:v>SO-26087</x:v>
      </x:c>
      <x:c r="B453" s="75" t="n">
        <x:v>46285</x:v>
      </x:c>
      <x:c r="C453" s="71" t="str">
        <x:v>Normal</x:v>
      </x:c>
      <x:c r="D453" s="71" t="str">
        <x:v>FG-017</x:v>
      </x:c>
      <x:c r="E453" s="71" t="str">
        <x:v>RM-005</x:v>
      </x:c>
      <x:c r="F453" s="71" t="str">
        <x:v>Packaging 005</x:v>
      </x:c>
      <x:c r="G453" s="76" t="n">
        <x:v>50</x:v>
      </x:c>
      <x:c r="H453" s="76" t="n">
        <x:v>50.91</x:v>
      </x:c>
      <x:c r="I453" s="76" t="n">
        <x:f>G453*H453</x:f>
        <x:v>2545.5</x:v>
      </x:c>
      <x:c r="J453" s="76" t="n">
        <x:f>IFERROR(INDEX('Inventory'!$E$2:$E$71,MATCH(E453,'Inventory'!$A$2:$A$71,0)),0)</x:f>
        <x:v>8699</x:v>
      </x:c>
      <x:c r="K453" s="76" t="n">
        <x:f>IFERROR(INDEX('Inventory'!$F$2:$F$71,MATCH(E453,'Inventory'!$A$2:$A$71,0)),0)</x:f>
        <x:v>1174</x:v>
      </x:c>
      <x:c r="L453" s="76" t="n">
        <x:f>SUMIFS('Open_POs'!$D$2:$D$26,'Open_POs'!$B$2:$B$26,E453,'Open_POs'!$E$2:$E$26,"&lt;="&amp;B453)</x:f>
        <x:v>0</x:v>
      </x:c>
      <x:c r="M453" s="76" t="n">
        <x:f>J453+L453</x:f>
        <x:v>8699</x:v>
      </x:c>
      <x:c r="N453" s="76" t="n">
        <x:f>SUMIFS($I$2:I453,$E$2:E453,E453)</x:f>
        <x:v>44499.79999999999</x:v>
      </x:c>
      <x:c r="O453" s="76" t="n">
        <x:f>M453-N453</x:f>
        <x:v>-35800.79999999999</x:v>
      </x:c>
      <x:c r="P453" s="71" t="str">
        <x:f>IF(O453&lt;0,"SHORT",IF(O453&lt;K453,"BELOW TARGET","COVERED"))</x:f>
        <x:v>SHORT</x:v>
      </x:c>
      <x:c r="Q453" s="63" t="str">
        <x:f>IF(AND(P453="SHORT",COUNTIFS($E$2:E453,E453,$P$2:P453,"SHORT")=1),B453,"")</x:f>
      </x:c>
    </x:row>
    <x:row r="454" ht="15" customHeight="1">
      <x:c r="A454" s="71" t="str">
        <x:v>SO-26087</x:v>
      </x:c>
      <x:c r="B454" s="75" t="n">
        <x:v>46285</x:v>
      </x:c>
      <x:c r="C454" s="71" t="str">
        <x:v>Normal</x:v>
      </x:c>
      <x:c r="D454" s="71" t="str">
        <x:v>FG-017</x:v>
      </x:c>
      <x:c r="E454" s="71" t="str">
        <x:v>RM-025</x:v>
      </x:c>
      <x:c r="F454" s="71" t="str">
        <x:v>Packaging 025</x:v>
      </x:c>
      <x:c r="G454" s="76" t="n">
        <x:v>50</x:v>
      </x:c>
      <x:c r="H454" s="76" t="n">
        <x:v>41.44</x:v>
      </x:c>
      <x:c r="I454" s="76" t="n">
        <x:f>G454*H454</x:f>
        <x:v>2072</x:v>
      </x:c>
      <x:c r="J454" s="76" t="n">
        <x:f>IFERROR(INDEX('Inventory'!$E$2:$E$71,MATCH(E454,'Inventory'!$A$2:$A$71,0)),0)</x:f>
        <x:v>2469</x:v>
      </x:c>
      <x:c r="K454" s="76" t="n">
        <x:f>IFERROR(INDEX('Inventory'!$F$2:$F$71,MATCH(E454,'Inventory'!$A$2:$A$71,0)),0)</x:f>
        <x:v>229</x:v>
      </x:c>
      <x:c r="L454" s="76" t="n">
        <x:f>SUMIFS('Open_POs'!$D$2:$D$26,'Open_POs'!$B$2:$B$26,E454,'Open_POs'!$E$2:$E$26,"&lt;="&amp;B454)</x:f>
        <x:v>10000</x:v>
      </x:c>
      <x:c r="M454" s="76" t="n">
        <x:f>J454+L454</x:f>
        <x:v>12469</x:v>
      </x:c>
      <x:c r="N454" s="76" t="n">
        <x:f>SUMIFS($I$2:I454,$E$2:E454,E454)</x:f>
        <x:v>37097.899999999994</x:v>
      </x:c>
      <x:c r="O454" s="76" t="n">
        <x:f>M454-N454</x:f>
        <x:v>-24628.899999999994</x:v>
      </x:c>
      <x:c r="P454" s="71" t="str">
        <x:f>IF(O454&lt;0,"SHORT",IF(O454&lt;K454,"BELOW TARGET","COVERED"))</x:f>
        <x:v>SHORT</x:v>
      </x:c>
      <x:c r="Q454" s="63" t="str">
        <x:f>IF(AND(P454="SHORT",COUNTIFS($E$2:E454,E454,$P$2:P454,"SHORT")=1),B454,"")</x:f>
      </x:c>
    </x:row>
    <x:row r="455" ht="15" customHeight="1">
      <x:c r="A455" s="71" t="str">
        <x:v>SO-26087</x:v>
      </x:c>
      <x:c r="B455" s="75" t="n">
        <x:v>46285</x:v>
      </x:c>
      <x:c r="C455" s="71" t="str">
        <x:v>Normal</x:v>
      </x:c>
      <x:c r="D455" s="71" t="str">
        <x:v>FG-017</x:v>
      </x:c>
      <x:c r="E455" s="71" t="str">
        <x:v>RM-041</x:v>
      </x:c>
      <x:c r="F455" s="71" t="str">
        <x:v>Resin 041</x:v>
      </x:c>
      <x:c r="G455" s="76" t="n">
        <x:v>50</x:v>
      </x:c>
      <x:c r="H455" s="76" t="n">
        <x:v>38.8</x:v>
      </x:c>
      <x:c r="I455" s="76" t="n">
        <x:f>G455*H455</x:f>
        <x:v>1939.9999999999998</x:v>
      </x:c>
      <x:c r="J455" s="76" t="n">
        <x:f>IFERROR(INDEX('Inventory'!$E$2:$E$71,MATCH(E455,'Inventory'!$A$2:$A$71,0)),0)</x:f>
        <x:v>4635</x:v>
      </x:c>
      <x:c r="K455" s="76" t="n">
        <x:f>IFERROR(INDEX('Inventory'!$F$2:$F$71,MATCH(E455,'Inventory'!$A$2:$A$71,0)),0)</x:f>
        <x:v>987</x:v>
      </x:c>
      <x:c r="L455" s="76" t="n">
        <x:f>SUMIFS('Open_POs'!$D$2:$D$26,'Open_POs'!$B$2:$B$26,E455,'Open_POs'!$E$2:$E$26,"&lt;="&amp;B455)</x:f>
        <x:v>0</x:v>
      </x:c>
      <x:c r="M455" s="76" t="n">
        <x:f>J455+L455</x:f>
        <x:v>4635</x:v>
      </x:c>
      <x:c r="N455" s="76" t="n">
        <x:f>SUMIFS($I$2:I455,$E$2:E455,E455)</x:f>
        <x:v>21186.6</x:v>
      </x:c>
      <x:c r="O455" s="76" t="n">
        <x:f>M455-N455</x:f>
        <x:v>-16551.6</x:v>
      </x:c>
      <x:c r="P455" s="71" t="str">
        <x:f>IF(O455&lt;0,"SHORT",IF(O455&lt;K455,"BELOW TARGET","COVERED"))</x:f>
        <x:v>SHORT</x:v>
      </x:c>
      <x:c r="Q455" s="63" t="str">
        <x:f>IF(AND(P455="SHORT",COUNTIFS($E$2:E455,E455,$P$2:P455,"SHORT")=1),B455,"")</x:f>
      </x:c>
    </x:row>
    <x:row r="456" ht="15" customHeight="1">
      <x:c r="A456" s="71" t="str">
        <x:v>SO-26087</x:v>
      </x:c>
      <x:c r="B456" s="75" t="n">
        <x:v>46285</x:v>
      </x:c>
      <x:c r="C456" s="71" t="str">
        <x:v>Normal</x:v>
      </x:c>
      <x:c r="D456" s="71" t="str">
        <x:v>FG-017</x:v>
      </x:c>
      <x:c r="E456" s="71" t="str">
        <x:v>RM-056</x:v>
      </x:c>
      <x:c r="F456" s="71" t="str">
        <x:v>Resin 056</x:v>
      </x:c>
      <x:c r="G456" s="76" t="n">
        <x:v>50</x:v>
      </x:c>
      <x:c r="H456" s="76" t="n">
        <x:v>73.02</x:v>
      </x:c>
      <x:c r="I456" s="76" t="n">
        <x:f>G456*H456</x:f>
        <x:v>3651</x:v>
      </x:c>
      <x:c r="J456" s="76" t="n">
        <x:f>IFERROR(INDEX('Inventory'!$E$2:$E$71,MATCH(E456,'Inventory'!$A$2:$A$71,0)),0)</x:f>
        <x:v>862</x:v>
      </x:c>
      <x:c r="K456" s="76" t="n">
        <x:f>IFERROR(INDEX('Inventory'!$F$2:$F$71,MATCH(E456,'Inventory'!$A$2:$A$71,0)),0)</x:f>
        <x:v>108</x:v>
      </x:c>
      <x:c r="L456" s="76" t="n">
        <x:f>SUMIFS('Open_POs'!$D$2:$D$26,'Open_POs'!$B$2:$B$26,E456,'Open_POs'!$E$2:$E$26,"&lt;="&amp;B456)</x:f>
        <x:v>0</x:v>
      </x:c>
      <x:c r="M456" s="76" t="n">
        <x:f>J456+L456</x:f>
        <x:v>862</x:v>
      </x:c>
      <x:c r="N456" s="76" t="n">
        <x:f>SUMIFS($I$2:I456,$E$2:E456,E456)</x:f>
        <x:v>16794.6</x:v>
      </x:c>
      <x:c r="O456" s="76" t="n">
        <x:f>M456-N456</x:f>
        <x:v>-15932.599999999999</x:v>
      </x:c>
      <x:c r="P456" s="71" t="str">
        <x:f>IF(O456&lt;0,"SHORT",IF(O456&lt;K456,"BELOW TARGET","COVERED"))</x:f>
        <x:v>SHORT</x:v>
      </x:c>
      <x:c r="Q456" s="63" t="str">
        <x:f>IF(AND(P456="SHORT",COUNTIFS($E$2:E456,E456,$P$2:P456,"SHORT")=1),B456,"")</x:f>
      </x:c>
    </x:row>
    <x:row r="457" ht="15" customHeight="1">
      <x:c r="A457" s="71" t="str">
        <x:v>SO-26087</x:v>
      </x:c>
      <x:c r="B457" s="75" t="n">
        <x:v>46285</x:v>
      </x:c>
      <x:c r="C457" s="71" t="str">
        <x:v>Normal</x:v>
      </x:c>
      <x:c r="D457" s="71" t="str">
        <x:v>FG-017</x:v>
      </x:c>
      <x:c r="E457" s="71" t="str">
        <x:v>RM-059</x:v>
      </x:c>
      <x:c r="F457" s="71" t="str">
        <x:v>Additive 059</x:v>
      </x:c>
      <x:c r="G457" s="76" t="n">
        <x:v>50</x:v>
      </x:c>
      <x:c r="H457" s="76" t="n">
        <x:v>60.54</x:v>
      </x:c>
      <x:c r="I457" s="76" t="n">
        <x:f>G457*H457</x:f>
        <x:v>3027</x:v>
      </x:c>
      <x:c r="J457" s="76" t="n">
        <x:f>IFERROR(INDEX('Inventory'!$E$2:$E$71,MATCH(E457,'Inventory'!$A$2:$A$71,0)),0)</x:f>
        <x:v>10488</x:v>
      </x:c>
      <x:c r="K457" s="76" t="n">
        <x:f>IFERROR(INDEX('Inventory'!$F$2:$F$71,MATCH(E457,'Inventory'!$A$2:$A$71,0)),0)</x:f>
        <x:v>1442</x:v>
      </x:c>
      <x:c r="L457" s="76" t="n">
        <x:f>SUMIFS('Open_POs'!$D$2:$D$26,'Open_POs'!$B$2:$B$26,E457,'Open_POs'!$E$2:$E$26,"&lt;="&amp;B457)</x:f>
        <x:v>0</x:v>
      </x:c>
      <x:c r="M457" s="76" t="n">
        <x:f>J457+L457</x:f>
        <x:v>10488</x:v>
      </x:c>
      <x:c r="N457" s="76" t="n">
        <x:f>SUMIFS($I$2:I457,$E$2:E457,E457)</x:f>
        <x:v>47648.600000000006</x:v>
      </x:c>
      <x:c r="O457" s="76" t="n">
        <x:f>M457-N457</x:f>
        <x:v>-37160.600000000006</x:v>
      </x:c>
      <x:c r="P457" s="71" t="str">
        <x:f>IF(O457&lt;0,"SHORT",IF(O457&lt;K457,"BELOW TARGET","COVERED"))</x:f>
        <x:v>SHORT</x:v>
      </x:c>
      <x:c r="Q457" s="63" t="str">
        <x:f>IF(AND(P457="SHORT",COUNTIFS($E$2:E457,E457,$P$2:P457,"SHORT")=1),B457,"")</x:f>
      </x:c>
    </x:row>
    <x:row r="458" ht="15" customHeight="1">
      <x:c r="A458" s="71" t="str">
        <x:v>SO-26090</x:v>
      </x:c>
      <x:c r="B458" s="75" t="n">
        <x:v>46285</x:v>
      </x:c>
      <x:c r="C458" s="71" t="str">
        <x:v>Normal</x:v>
      </x:c>
      <x:c r="D458" s="71" t="str">
        <x:v>FG-024</x:v>
      </x:c>
      <x:c r="E458" s="71" t="str">
        <x:v>RM-006</x:v>
      </x:c>
      <x:c r="F458" s="71" t="str">
        <x:v>Resin 006</x:v>
      </x:c>
      <x:c r="G458" s="76" t="n">
        <x:v>40</x:v>
      </x:c>
      <x:c r="H458" s="76" t="n">
        <x:v>55.55</x:v>
      </x:c>
      <x:c r="I458" s="76" t="n">
        <x:f>G458*H458</x:f>
        <x:v>2222</x:v>
      </x:c>
      <x:c r="J458" s="76" t="n">
        <x:f>IFERROR(INDEX('Inventory'!$E$2:$E$71,MATCH(E458,'Inventory'!$A$2:$A$71,0)),0)</x:f>
        <x:v>1295</x:v>
      </x:c>
      <x:c r="K458" s="76" t="n">
        <x:f>IFERROR(INDEX('Inventory'!$F$2:$F$71,MATCH(E458,'Inventory'!$A$2:$A$71,0)),0)</x:f>
        <x:v>599</x:v>
      </x:c>
      <x:c r="L458" s="76" t="n">
        <x:f>SUMIFS('Open_POs'!$D$2:$D$26,'Open_POs'!$B$2:$B$26,E458,'Open_POs'!$E$2:$E$26,"&lt;="&amp;B458)</x:f>
        <x:v>0</x:v>
      </x:c>
      <x:c r="M458" s="76" t="n">
        <x:f>J458+L458</x:f>
        <x:v>1295</x:v>
      </x:c>
      <x:c r="N458" s="76" t="n">
        <x:f>SUMIFS($I$2:I458,$E$2:E458,E458)</x:f>
        <x:v>5878.6</x:v>
      </x:c>
      <x:c r="O458" s="76" t="n">
        <x:f>M458-N458</x:f>
        <x:v>-4583.6</x:v>
      </x:c>
      <x:c r="P458" s="71" t="str">
        <x:f>IF(O458&lt;0,"SHORT",IF(O458&lt;K458,"BELOW TARGET","COVERED"))</x:f>
        <x:v>SHORT</x:v>
      </x:c>
      <x:c r="Q458" s="63" t="str">
        <x:f>IF(AND(P458="SHORT",COUNTIFS($E$2:E458,E458,$P$2:P458,"SHORT")=1),B458,"")</x:f>
      </x:c>
    </x:row>
    <x:row r="459" ht="15" customHeight="1">
      <x:c r="A459" s="71" t="str">
        <x:v>SO-26090</x:v>
      </x:c>
      <x:c r="B459" s="75" t="n">
        <x:v>46285</x:v>
      </x:c>
      <x:c r="C459" s="71" t="str">
        <x:v>Normal</x:v>
      </x:c>
      <x:c r="D459" s="71" t="str">
        <x:v>FG-024</x:v>
      </x:c>
      <x:c r="E459" s="71" t="str">
        <x:v>RM-013</x:v>
      </x:c>
      <x:c r="F459" s="71" t="str">
        <x:v>Filler 013</x:v>
      </x:c>
      <x:c r="G459" s="76" t="n">
        <x:v>40</x:v>
      </x:c>
      <x:c r="H459" s="76" t="n">
        <x:v>49.92</x:v>
      </x:c>
      <x:c r="I459" s="76" t="n">
        <x:f>G459*H459</x:f>
        <x:v>1996.8000000000002</x:v>
      </x:c>
      <x:c r="J459" s="76" t="n">
        <x:f>IFERROR(INDEX('Inventory'!$E$2:$E$71,MATCH(E459,'Inventory'!$A$2:$A$71,0)),0)</x:f>
        <x:v>16230</x:v>
      </x:c>
      <x:c r="K459" s="76" t="n">
        <x:f>IFERROR(INDEX('Inventory'!$F$2:$F$71,MATCH(E459,'Inventory'!$A$2:$A$71,0)),0)</x:f>
        <x:v>1037</x:v>
      </x:c>
      <x:c r="L459" s="76" t="n">
        <x:f>SUMIFS('Open_POs'!$D$2:$D$26,'Open_POs'!$B$2:$B$26,E459,'Open_POs'!$E$2:$E$26,"&lt;="&amp;B459)</x:f>
        <x:v>0</x:v>
      </x:c>
      <x:c r="M459" s="76" t="n">
        <x:f>J459+L459</x:f>
        <x:v>16230</x:v>
      </x:c>
      <x:c r="N459" s="76" t="n">
        <x:f>SUMIFS($I$2:I459,$E$2:E459,E459)</x:f>
        <x:v>11341.400000000001</x:v>
      </x:c>
      <x:c r="O459" s="76" t="n">
        <x:f>M459-N459</x:f>
        <x:v>4888.5999999999985</x:v>
      </x:c>
      <x:c r="P459" s="71" t="str">
        <x:f>IF(O459&lt;0,"SHORT",IF(O459&lt;K459,"BELOW TARGET","COVERED"))</x:f>
        <x:v>COVERED</x:v>
      </x:c>
      <x:c r="Q459" s="63" t="str">
        <x:f>IF(AND(P459="SHORT",COUNTIFS($E$2:E459,E459,$P$2:P459,"SHORT")=1),B459,"")</x:f>
      </x:c>
    </x:row>
    <x:row r="460" ht="15" customHeight="1">
      <x:c r="A460" s="71" t="str">
        <x:v>SO-26090</x:v>
      </x:c>
      <x:c r="B460" s="75" t="n">
        <x:v>46285</x:v>
      </x:c>
      <x:c r="C460" s="71" t="str">
        <x:v>Normal</x:v>
      </x:c>
      <x:c r="D460" s="71" t="str">
        <x:v>FG-024</x:v>
      </x:c>
      <x:c r="E460" s="71" t="str">
        <x:v>RM-037</x:v>
      </x:c>
      <x:c r="F460" s="71" t="str">
        <x:v>Pigment 037</x:v>
      </x:c>
      <x:c r="G460" s="76" t="n">
        <x:v>40</x:v>
      </x:c>
      <x:c r="H460" s="76" t="n">
        <x:v>64.55</x:v>
      </x:c>
      <x:c r="I460" s="76" t="n">
        <x:f>G460*H460</x:f>
        <x:v>2582</x:v>
      </x:c>
      <x:c r="J460" s="76" t="n">
        <x:f>IFERROR(INDEX('Inventory'!$E$2:$E$71,MATCH(E460,'Inventory'!$A$2:$A$71,0)),0)</x:f>
        <x:v>14210</x:v>
      </x:c>
      <x:c r="K460" s="76" t="n">
        <x:f>IFERROR(INDEX('Inventory'!$F$2:$F$71,MATCH(E460,'Inventory'!$A$2:$A$71,0)),0)</x:f>
        <x:v>850</x:v>
      </x:c>
      <x:c r="L460" s="76" t="n">
        <x:f>SUMIFS('Open_POs'!$D$2:$D$26,'Open_POs'!$B$2:$B$26,E460,'Open_POs'!$E$2:$E$26,"&lt;="&amp;B460)</x:f>
        <x:v>2500</x:v>
      </x:c>
      <x:c r="M460" s="76" t="n">
        <x:f>J460+L460</x:f>
        <x:v>16710</x:v>
      </x:c>
      <x:c r="N460" s="76" t="n">
        <x:f>SUMIFS($I$2:I460,$E$2:E460,E460)</x:f>
        <x:v>20580.199999999997</x:v>
      </x:c>
      <x:c r="O460" s="76" t="n">
        <x:f>M460-N460</x:f>
        <x:v>-3870.199999999997</x:v>
      </x:c>
      <x:c r="P460" s="71" t="str">
        <x:f>IF(O460&lt;0,"SHORT",IF(O460&lt;K460,"BELOW TARGET","COVERED"))</x:f>
        <x:v>SHORT</x:v>
      </x:c>
      <x:c r="Q460" s="63" t="str">
        <x:f>IF(AND(P460="SHORT",COUNTIFS($E$2:E460,E460,$P$2:P460,"SHORT")=1),B460,"")</x:f>
      </x:c>
    </x:row>
    <x:row r="461" ht="15" customHeight="1">
      <x:c r="A461" s="71" t="str">
        <x:v>SO-26090</x:v>
      </x:c>
      <x:c r="B461" s="75" t="n">
        <x:v>46285</x:v>
      </x:c>
      <x:c r="C461" s="71" t="str">
        <x:v>Normal</x:v>
      </x:c>
      <x:c r="D461" s="71" t="str">
        <x:v>FG-024</x:v>
      </x:c>
      <x:c r="E461" s="71" t="str">
        <x:v>RM-044</x:v>
      </x:c>
      <x:c r="F461" s="71" t="str">
        <x:v>Additive 044</x:v>
      </x:c>
      <x:c r="G461" s="76" t="n">
        <x:v>40</x:v>
      </x:c>
      <x:c r="H461" s="76" t="n">
        <x:v>92.32</x:v>
      </x:c>
      <x:c r="I461" s="76" t="n">
        <x:f>G461*H461</x:f>
        <x:v>3692.7999999999997</x:v>
      </x:c>
      <x:c r="J461" s="76" t="n">
        <x:f>IFERROR(INDEX('Inventory'!$E$2:$E$71,MATCH(E461,'Inventory'!$A$2:$A$71,0)),0)</x:f>
        <x:v>10361</x:v>
      </x:c>
      <x:c r="K461" s="76" t="n">
        <x:f>IFERROR(INDEX('Inventory'!$F$2:$F$71,MATCH(E461,'Inventory'!$A$2:$A$71,0)),0)</x:f>
        <x:v>571</x:v>
      </x:c>
      <x:c r="L461" s="76" t="n">
        <x:f>SUMIFS('Open_POs'!$D$2:$D$26,'Open_POs'!$B$2:$B$26,E461,'Open_POs'!$E$2:$E$26,"&lt;="&amp;B461)</x:f>
        <x:v>0</x:v>
      </x:c>
      <x:c r="M461" s="76" t="n">
        <x:f>J461+L461</x:f>
        <x:v>10361</x:v>
      </x:c>
      <x:c r="N461" s="76" t="n">
        <x:f>SUMIFS($I$2:I461,$E$2:E461,E461)</x:f>
        <x:v>26473.6</x:v>
      </x:c>
      <x:c r="O461" s="76" t="n">
        <x:f>M461-N461</x:f>
        <x:v>-16112.599999999999</x:v>
      </x:c>
      <x:c r="P461" s="71" t="str">
        <x:f>IF(O461&lt;0,"SHORT",IF(O461&lt;K461,"BELOW TARGET","COVERED"))</x:f>
        <x:v>SHORT</x:v>
      </x:c>
      <x:c r="Q461" s="63" t="str">
        <x:f>IF(AND(P461="SHORT",COUNTIFS($E$2:E461,E461,$P$2:P461,"SHORT")=1),B461,"")</x:f>
      </x:c>
    </x:row>
    <x:row r="462" ht="15" customHeight="1">
      <x:c r="A462" s="71" t="str">
        <x:v>SO-26090</x:v>
      </x:c>
      <x:c r="B462" s="75" t="n">
        <x:v>46285</x:v>
      </x:c>
      <x:c r="C462" s="71" t="str">
        <x:v>Normal</x:v>
      </x:c>
      <x:c r="D462" s="71" t="str">
        <x:v>FG-024</x:v>
      </x:c>
      <x:c r="E462" s="71" t="str">
        <x:v>RM-058</x:v>
      </x:c>
      <x:c r="F462" s="71" t="str">
        <x:v>Filler 058</x:v>
      </x:c>
      <x:c r="G462" s="76" t="n">
        <x:v>40</x:v>
      </x:c>
      <x:c r="H462" s="76" t="n">
        <x:v>54.64</x:v>
      </x:c>
      <x:c r="I462" s="76" t="n">
        <x:f>G462*H462</x:f>
        <x:v>2185.6</x:v>
      </x:c>
      <x:c r="J462" s="76" t="n">
        <x:f>IFERROR(INDEX('Inventory'!$E$2:$E$71,MATCH(E462,'Inventory'!$A$2:$A$71,0)),0)</x:f>
        <x:v>9929</x:v>
      </x:c>
      <x:c r="K462" s="76" t="n">
        <x:f>IFERROR(INDEX('Inventory'!$F$2:$F$71,MATCH(E462,'Inventory'!$A$2:$A$71,0)),0)</x:f>
        <x:v>701</x:v>
      </x:c>
      <x:c r="L462" s="76" t="n">
        <x:f>SUMIFS('Open_POs'!$D$2:$D$26,'Open_POs'!$B$2:$B$26,E462,'Open_POs'!$E$2:$E$26,"&lt;="&amp;B462)</x:f>
        <x:v>0</x:v>
      </x:c>
      <x:c r="M462" s="76" t="n">
        <x:f>J462+L462</x:f>
        <x:v>9929</x:v>
      </x:c>
      <x:c r="N462" s="76" t="n">
        <x:f>SUMIFS($I$2:I462,$E$2:E462,E462)</x:f>
        <x:v>63049.50000000001</x:v>
      </x:c>
      <x:c r="O462" s="76" t="n">
        <x:f>M462-N462</x:f>
        <x:v>-53120.50000000001</x:v>
      </x:c>
      <x:c r="P462" s="71" t="str">
        <x:f>IF(O462&lt;0,"SHORT",IF(O462&lt;K462,"BELOW TARGET","COVERED"))</x:f>
        <x:v>SHORT</x:v>
      </x:c>
      <x:c r="Q462" s="63" t="str">
        <x:f>IF(AND(P462="SHORT",COUNTIFS($E$2:E462,E462,$P$2:P462,"SHORT")=1),B462,"")</x:f>
      </x:c>
    </x:row>
    <x:row r="463" ht="15" customHeight="1">
      <x:c r="A463" s="71" t="str">
        <x:v>SO-26090</x:v>
      </x:c>
      <x:c r="B463" s="75" t="n">
        <x:v>46285</x:v>
      </x:c>
      <x:c r="C463" s="71" t="str">
        <x:v>Normal</x:v>
      </x:c>
      <x:c r="D463" s="71" t="str">
        <x:v>FG-024</x:v>
      </x:c>
      <x:c r="E463" s="71" t="str">
        <x:v>RM-063</x:v>
      </x:c>
      <x:c r="F463" s="71" t="str">
        <x:v>Filler 063</x:v>
      </x:c>
      <x:c r="G463" s="76" t="n">
        <x:v>40</x:v>
      </x:c>
      <x:c r="H463" s="76" t="n">
        <x:v>116.22</x:v>
      </x:c>
      <x:c r="I463" s="76" t="n">
        <x:f>G463*H463</x:f>
        <x:v>4648.8</x:v>
      </x:c>
      <x:c r="J463" s="76" t="n">
        <x:f>IFERROR(INDEX('Inventory'!$E$2:$E$71,MATCH(E463,'Inventory'!$A$2:$A$71,0)),0)</x:f>
        <x:v>7508</x:v>
      </x:c>
      <x:c r="K463" s="76" t="n">
        <x:f>IFERROR(INDEX('Inventory'!$F$2:$F$71,MATCH(E463,'Inventory'!$A$2:$A$71,0)),0)</x:f>
        <x:v>1090</x:v>
      </x:c>
      <x:c r="L463" s="76" t="n">
        <x:f>SUMIFS('Open_POs'!$D$2:$D$26,'Open_POs'!$B$2:$B$26,E463,'Open_POs'!$E$2:$E$26,"&lt;="&amp;B463)</x:f>
        <x:v>5000</x:v>
      </x:c>
      <x:c r="M463" s="76" t="n">
        <x:f>J463+L463</x:f>
        <x:v>12508</x:v>
      </x:c>
      <x:c r="N463" s="76" t="n">
        <x:f>SUMIFS($I$2:I463,$E$2:E463,E463)</x:f>
        <x:v>59599.4</x:v>
      </x:c>
      <x:c r="O463" s="76" t="n">
        <x:f>M463-N463</x:f>
        <x:v>-47091.4</x:v>
      </x:c>
      <x:c r="P463" s="71" t="str">
        <x:f>IF(O463&lt;0,"SHORT",IF(O463&lt;K463,"BELOW TARGET","COVERED"))</x:f>
        <x:v>SHORT</x:v>
      </x:c>
      <x:c r="Q463" s="63" t="str">
        <x:f>IF(AND(P463="SHORT",COUNTIFS($E$2:E463,E463,$P$2:P463,"SHORT")=1),B463,"")</x:f>
      </x:c>
    </x:row>
    <x:row r="464" ht="15" customHeight="1">
      <x:c r="A464" s="71" t="str">
        <x:v>SO-26017</x:v>
      </x:c>
      <x:c r="B464" s="75" t="n">
        <x:v>46286</x:v>
      </x:c>
      <x:c r="C464" s="71" t="str">
        <x:v>High</x:v>
      </x:c>
      <x:c r="D464" s="71" t="str">
        <x:v>FG-007</x:v>
      </x:c>
      <x:c r="E464" s="71" t="str">
        <x:v>RM-006</x:v>
      </x:c>
      <x:c r="F464" s="71" t="str">
        <x:v>Resin 006</x:v>
      </x:c>
      <x:c r="G464" s="76" t="n">
        <x:v>100</x:v>
      </x:c>
      <x:c r="H464" s="76" t="n">
        <x:v>63.64</x:v>
      </x:c>
      <x:c r="I464" s="76" t="n">
        <x:f>G464*H464</x:f>
        <x:v>6364</x:v>
      </x:c>
      <x:c r="J464" s="76" t="n">
        <x:f>IFERROR(INDEX('Inventory'!$E$2:$E$71,MATCH(E464,'Inventory'!$A$2:$A$71,0)),0)</x:f>
        <x:v>1295</x:v>
      </x:c>
      <x:c r="K464" s="76" t="n">
        <x:f>IFERROR(INDEX('Inventory'!$F$2:$F$71,MATCH(E464,'Inventory'!$A$2:$A$71,0)),0)</x:f>
        <x:v>599</x:v>
      </x:c>
      <x:c r="L464" s="76" t="n">
        <x:f>SUMIFS('Open_POs'!$D$2:$D$26,'Open_POs'!$B$2:$B$26,E464,'Open_POs'!$E$2:$E$26,"&lt;="&amp;B464)</x:f>
        <x:v>0</x:v>
      </x:c>
      <x:c r="M464" s="76" t="n">
        <x:f>J464+L464</x:f>
        <x:v>1295</x:v>
      </x:c>
      <x:c r="N464" s="76" t="n">
        <x:f>SUMIFS($I$2:I464,$E$2:E464,E464)</x:f>
        <x:v>12242.6</x:v>
      </x:c>
      <x:c r="O464" s="76" t="n">
        <x:f>M464-N464</x:f>
        <x:v>-10947.6</x:v>
      </x:c>
      <x:c r="P464" s="71" t="str">
        <x:f>IF(O464&lt;0,"SHORT",IF(O464&lt;K464,"BELOW TARGET","COVERED"))</x:f>
        <x:v>SHORT</x:v>
      </x:c>
      <x:c r="Q464" s="63" t="str">
        <x:f>IF(AND(P464="SHORT",COUNTIFS($E$2:E464,E464,$P$2:P464,"SHORT")=1),B464,"")</x:f>
      </x:c>
    </x:row>
    <x:row r="465" ht="15" customHeight="1">
      <x:c r="A465" s="71" t="str">
        <x:v>SO-26017</x:v>
      </x:c>
      <x:c r="B465" s="75" t="n">
        <x:v>46286</x:v>
      </x:c>
      <x:c r="C465" s="71" t="str">
        <x:v>High</x:v>
      </x:c>
      <x:c r="D465" s="71" t="str">
        <x:v>FG-007</x:v>
      </x:c>
      <x:c r="E465" s="71" t="str">
        <x:v>RM-007</x:v>
      </x:c>
      <x:c r="F465" s="71" t="str">
        <x:v>Pigment 007</x:v>
      </x:c>
      <x:c r="G465" s="76" t="n">
        <x:v>100</x:v>
      </x:c>
      <x:c r="H465" s="76" t="n">
        <x:v>37.48</x:v>
      </x:c>
      <x:c r="I465" s="76" t="n">
        <x:f>G465*H465</x:f>
        <x:v>3747.9999999999995</x:v>
      </x:c>
      <x:c r="J465" s="76" t="n">
        <x:f>IFERROR(INDEX('Inventory'!$E$2:$E$71,MATCH(E465,'Inventory'!$A$2:$A$71,0)),0)</x:f>
        <x:v>9115</x:v>
      </x:c>
      <x:c r="K465" s="76" t="n">
        <x:f>IFERROR(INDEX('Inventory'!$F$2:$F$71,MATCH(E465,'Inventory'!$A$2:$A$71,0)),0)</x:f>
        <x:v>230</x:v>
      </x:c>
      <x:c r="L465" s="76" t="n">
        <x:f>SUMIFS('Open_POs'!$D$2:$D$26,'Open_POs'!$B$2:$B$26,E465,'Open_POs'!$E$2:$E$26,"&lt;="&amp;B465)</x:f>
        <x:v>2500</x:v>
      </x:c>
      <x:c r="M465" s="76" t="n">
        <x:f>J465+L465</x:f>
        <x:v>11615</x:v>
      </x:c>
      <x:c r="N465" s="76" t="n">
        <x:f>SUMIFS($I$2:I465,$E$2:E465,E465)</x:f>
        <x:v>23779.6</x:v>
      </x:c>
      <x:c r="O465" s="76" t="n">
        <x:f>M465-N465</x:f>
        <x:v>-12164.599999999999</x:v>
      </x:c>
      <x:c r="P465" s="71" t="str">
        <x:f>IF(O465&lt;0,"SHORT",IF(O465&lt;K465,"BELOW TARGET","COVERED"))</x:f>
        <x:v>SHORT</x:v>
      </x:c>
      <x:c r="Q465" s="63" t="str">
        <x:f>IF(AND(P465="SHORT",COUNTIFS($E$2:E465,E465,$P$2:P465,"SHORT")=1),B465,"")</x:f>
      </x:c>
    </x:row>
    <x:row r="466" ht="15" customHeight="1">
      <x:c r="A466" s="71" t="str">
        <x:v>SO-26017</x:v>
      </x:c>
      <x:c r="B466" s="75" t="n">
        <x:v>46286</x:v>
      </x:c>
      <x:c r="C466" s="71" t="str">
        <x:v>High</x:v>
      </x:c>
      <x:c r="D466" s="71" t="str">
        <x:v>FG-007</x:v>
      </x:c>
      <x:c r="E466" s="71" t="str">
        <x:v>RM-037</x:v>
      </x:c>
      <x:c r="F466" s="71" t="str">
        <x:v>Pigment 037</x:v>
      </x:c>
      <x:c r="G466" s="76" t="n">
        <x:v>100</x:v>
      </x:c>
      <x:c r="H466" s="76" t="n">
        <x:v>67.58</x:v>
      </x:c>
      <x:c r="I466" s="76" t="n">
        <x:f>G466*H466</x:f>
        <x:v>6758</x:v>
      </x:c>
      <x:c r="J466" s="76" t="n">
        <x:f>IFERROR(INDEX('Inventory'!$E$2:$E$71,MATCH(E466,'Inventory'!$A$2:$A$71,0)),0)</x:f>
        <x:v>14210</x:v>
      </x:c>
      <x:c r="K466" s="76" t="n">
        <x:f>IFERROR(INDEX('Inventory'!$F$2:$F$71,MATCH(E466,'Inventory'!$A$2:$A$71,0)),0)</x:f>
        <x:v>850</x:v>
      </x:c>
      <x:c r="L466" s="76" t="n">
        <x:f>SUMIFS('Open_POs'!$D$2:$D$26,'Open_POs'!$B$2:$B$26,E466,'Open_POs'!$E$2:$E$26,"&lt;="&amp;B466)</x:f>
        <x:v>2500</x:v>
      </x:c>
      <x:c r="M466" s="76" t="n">
        <x:f>J466+L466</x:f>
        <x:v>16710</x:v>
      </x:c>
      <x:c r="N466" s="76" t="n">
        <x:f>SUMIFS($I$2:I466,$E$2:E466,E466)</x:f>
        <x:v>27338.199999999997</x:v>
      </x:c>
      <x:c r="O466" s="76" t="n">
        <x:f>M466-N466</x:f>
        <x:v>-10628.199999999997</x:v>
      </x:c>
      <x:c r="P466" s="71" t="str">
        <x:f>IF(O466&lt;0,"SHORT",IF(O466&lt;K466,"BELOW TARGET","COVERED"))</x:f>
        <x:v>SHORT</x:v>
      </x:c>
      <x:c r="Q466" s="63" t="str">
        <x:f>IF(AND(P466="SHORT",COUNTIFS($E$2:E466,E466,$P$2:P466,"SHORT")=1),B466,"")</x:f>
      </x:c>
    </x:row>
    <x:row r="467" ht="15" customHeight="1">
      <x:c r="A467" s="71" t="str">
        <x:v>SO-26017</x:v>
      </x:c>
      <x:c r="B467" s="75" t="n">
        <x:v>46286</x:v>
      </x:c>
      <x:c r="C467" s="71" t="str">
        <x:v>High</x:v>
      </x:c>
      <x:c r="D467" s="71" t="str">
        <x:v>FG-007</x:v>
      </x:c>
      <x:c r="E467" s="71" t="str">
        <x:v>RM-041</x:v>
      </x:c>
      <x:c r="F467" s="71" t="str">
        <x:v>Resin 041</x:v>
      </x:c>
      <x:c r="G467" s="76" t="n">
        <x:v>100</x:v>
      </x:c>
      <x:c r="H467" s="76" t="n">
        <x:v>41.77</x:v>
      </x:c>
      <x:c r="I467" s="76" t="n">
        <x:f>G467*H467</x:f>
        <x:v>4177</x:v>
      </x:c>
      <x:c r="J467" s="76" t="n">
        <x:f>IFERROR(INDEX('Inventory'!$E$2:$E$71,MATCH(E467,'Inventory'!$A$2:$A$71,0)),0)</x:f>
        <x:v>4635</x:v>
      </x:c>
      <x:c r="K467" s="76" t="n">
        <x:f>IFERROR(INDEX('Inventory'!$F$2:$F$71,MATCH(E467,'Inventory'!$A$2:$A$71,0)),0)</x:f>
        <x:v>987</x:v>
      </x:c>
      <x:c r="L467" s="76" t="n">
        <x:f>SUMIFS('Open_POs'!$D$2:$D$26,'Open_POs'!$B$2:$B$26,E467,'Open_POs'!$E$2:$E$26,"&lt;="&amp;B467)</x:f>
        <x:v>0</x:v>
      </x:c>
      <x:c r="M467" s="76" t="n">
        <x:f>J467+L467</x:f>
        <x:v>4635</x:v>
      </x:c>
      <x:c r="N467" s="76" t="n">
        <x:f>SUMIFS($I$2:I467,$E$2:E467,E467)</x:f>
        <x:v>25363.6</x:v>
      </x:c>
      <x:c r="O467" s="76" t="n">
        <x:f>M467-N467</x:f>
        <x:v>-20728.6</x:v>
      </x:c>
      <x:c r="P467" s="71" t="str">
        <x:f>IF(O467&lt;0,"SHORT",IF(O467&lt;K467,"BELOW TARGET","COVERED"))</x:f>
        <x:v>SHORT</x:v>
      </x:c>
      <x:c r="Q467" s="63" t="str">
        <x:f>IF(AND(P467="SHORT",COUNTIFS($E$2:E467,E467,$P$2:P467,"SHORT")=1),B467,"")</x:f>
      </x:c>
    </x:row>
    <x:row r="468" ht="15" customHeight="1">
      <x:c r="A468" s="71" t="str">
        <x:v>SO-26017</x:v>
      </x:c>
      <x:c r="B468" s="75" t="n">
        <x:v>46286</x:v>
      </x:c>
      <x:c r="C468" s="71" t="str">
        <x:v>High</x:v>
      </x:c>
      <x:c r="D468" s="71" t="str">
        <x:v>FG-007</x:v>
      </x:c>
      <x:c r="E468" s="71" t="str">
        <x:v>RM-050</x:v>
      </x:c>
      <x:c r="F468" s="71" t="str">
        <x:v>Packaging 050</x:v>
      </x:c>
      <x:c r="G468" s="76" t="n">
        <x:v>100</x:v>
      </x:c>
      <x:c r="H468" s="76" t="n">
        <x:v>79.38</x:v>
      </x:c>
      <x:c r="I468" s="76" t="n">
        <x:f>G468*H468</x:f>
        <x:v>7938</x:v>
      </x:c>
      <x:c r="J468" s="76" t="n">
        <x:f>IFERROR(INDEX('Inventory'!$E$2:$E$71,MATCH(E468,'Inventory'!$A$2:$A$71,0)),0)</x:f>
        <x:v>5370</x:v>
      </x:c>
      <x:c r="K468" s="76" t="n">
        <x:f>IFERROR(INDEX('Inventory'!$F$2:$F$71,MATCH(E468,'Inventory'!$A$2:$A$71,0)),0)</x:f>
        <x:v>1210</x:v>
      </x:c>
      <x:c r="L468" s="76" t="n">
        <x:f>SUMIFS('Open_POs'!$D$2:$D$26,'Open_POs'!$B$2:$B$26,E468,'Open_POs'!$E$2:$E$26,"&lt;="&amp;B468)</x:f>
        <x:v>2500</x:v>
      </x:c>
      <x:c r="M468" s="76" t="n">
        <x:f>J468+L468</x:f>
        <x:v>7870</x:v>
      </x:c>
      <x:c r="N468" s="76" t="n">
        <x:f>SUMIFS($I$2:I468,$E$2:E468,E468)</x:f>
        <x:v>20861.1</x:v>
      </x:c>
      <x:c r="O468" s="76" t="n">
        <x:f>M468-N468</x:f>
        <x:v>-12991.099999999999</x:v>
      </x:c>
      <x:c r="P468" s="71" t="str">
        <x:f>IF(O468&lt;0,"SHORT",IF(O468&lt;K468,"BELOW TARGET","COVERED"))</x:f>
        <x:v>SHORT</x:v>
      </x:c>
      <x:c r="Q468" s="63" t="str">
        <x:f>IF(AND(P468="SHORT",COUNTIFS($E$2:E468,E468,$P$2:P468,"SHORT")=1),B468,"")</x:f>
      </x:c>
    </x:row>
    <x:row r="469" ht="15" customHeight="1">
      <x:c r="A469" s="71" t="str">
        <x:v>SO-26017</x:v>
      </x:c>
      <x:c r="B469" s="75" t="n">
        <x:v>46286</x:v>
      </x:c>
      <x:c r="C469" s="71" t="str">
        <x:v>High</x:v>
      </x:c>
      <x:c r="D469" s="71" t="str">
        <x:v>FG-007</x:v>
      </x:c>
      <x:c r="E469" s="71" t="str">
        <x:v>RM-052</x:v>
      </x:c>
      <x:c r="F469" s="71" t="str">
        <x:v>Pigment 052</x:v>
      </x:c>
      <x:c r="G469" s="76" t="n">
        <x:v>100</x:v>
      </x:c>
      <x:c r="H469" s="76" t="n">
        <x:v>30.43</x:v>
      </x:c>
      <x:c r="I469" s="76" t="n">
        <x:f>G469*H469</x:f>
        <x:v>3043</x:v>
      </x:c>
      <x:c r="J469" s="76" t="n">
        <x:f>IFERROR(INDEX('Inventory'!$E$2:$E$71,MATCH(E469,'Inventory'!$A$2:$A$71,0)),0)</x:f>
        <x:v>6374</x:v>
      </x:c>
      <x:c r="K469" s="76" t="n">
        <x:f>IFERROR(INDEX('Inventory'!$F$2:$F$71,MATCH(E469,'Inventory'!$A$2:$A$71,0)),0)</x:f>
        <x:v>949</x:v>
      </x:c>
      <x:c r="L469" s="76" t="n">
        <x:f>SUMIFS('Open_POs'!$D$2:$D$26,'Open_POs'!$B$2:$B$26,E469,'Open_POs'!$E$2:$E$26,"&lt;="&amp;B469)</x:f>
        <x:v>1000</x:v>
      </x:c>
      <x:c r="M469" s="76" t="n">
        <x:f>J469+L469</x:f>
        <x:v>7374</x:v>
      </x:c>
      <x:c r="N469" s="76" t="n">
        <x:f>SUMIFS($I$2:I469,$E$2:E469,E469)</x:f>
        <x:v>17731.8</x:v>
      </x:c>
      <x:c r="O469" s="76" t="n">
        <x:f>M469-N469</x:f>
        <x:v>-10357.8</x:v>
      </x:c>
      <x:c r="P469" s="71" t="str">
        <x:f>IF(O469&lt;0,"SHORT",IF(O469&lt;K469,"BELOW TARGET","COVERED"))</x:f>
        <x:v>SHORT</x:v>
      </x:c>
      <x:c r="Q469" s="63" t="str">
        <x:f>IF(AND(P469="SHORT",COUNTIFS($E$2:E469,E469,$P$2:P469,"SHORT")=1),B469,"")</x:f>
      </x:c>
    </x:row>
    <x:row r="470" ht="15" customHeight="1">
      <x:c r="A470" s="71" t="str">
        <x:v>SO-26017</x:v>
      </x:c>
      <x:c r="B470" s="75" t="n">
        <x:v>46286</x:v>
      </x:c>
      <x:c r="C470" s="71" t="str">
        <x:v>High</x:v>
      </x:c>
      <x:c r="D470" s="71" t="str">
        <x:v>FG-007</x:v>
      </x:c>
      <x:c r="E470" s="71" t="str">
        <x:v>RM-063</x:v>
      </x:c>
      <x:c r="F470" s="71" t="str">
        <x:v>Filler 063</x:v>
      </x:c>
      <x:c r="G470" s="76" t="n">
        <x:v>100</x:v>
      </x:c>
      <x:c r="H470" s="76" t="n">
        <x:v>104.71</x:v>
      </x:c>
      <x:c r="I470" s="76" t="n">
        <x:f>G470*H470</x:f>
        <x:v>10471</x:v>
      </x:c>
      <x:c r="J470" s="76" t="n">
        <x:f>IFERROR(INDEX('Inventory'!$E$2:$E$71,MATCH(E470,'Inventory'!$A$2:$A$71,0)),0)</x:f>
        <x:v>7508</x:v>
      </x:c>
      <x:c r="K470" s="76" t="n">
        <x:f>IFERROR(INDEX('Inventory'!$F$2:$F$71,MATCH(E470,'Inventory'!$A$2:$A$71,0)),0)</x:f>
        <x:v>1090</x:v>
      </x:c>
      <x:c r="L470" s="76" t="n">
        <x:f>SUMIFS('Open_POs'!$D$2:$D$26,'Open_POs'!$B$2:$B$26,E470,'Open_POs'!$E$2:$E$26,"&lt;="&amp;B470)</x:f>
        <x:v>5000</x:v>
      </x:c>
      <x:c r="M470" s="76" t="n">
        <x:f>J470+L470</x:f>
        <x:v>12508</x:v>
      </x:c>
      <x:c r="N470" s="76" t="n">
        <x:f>SUMIFS($I$2:I470,$E$2:E470,E470)</x:f>
        <x:v>70070.4</x:v>
      </x:c>
      <x:c r="O470" s="76" t="n">
        <x:f>M470-N470</x:f>
        <x:v>-57562.399999999994</x:v>
      </x:c>
      <x:c r="P470" s="71" t="str">
        <x:f>IF(O470&lt;0,"SHORT",IF(O470&lt;K470,"BELOW TARGET","COVERED"))</x:f>
        <x:v>SHORT</x:v>
      </x:c>
      <x:c r="Q470" s="63" t="str">
        <x:f>IF(AND(P470="SHORT",COUNTIFS($E$2:E470,E470,$P$2:P470,"SHORT")=1),B470,"")</x:f>
      </x:c>
    </x:row>
    <x:row r="471" ht="15" customHeight="1">
      <x:c r="A471" s="71" t="str">
        <x:v>SO-26017</x:v>
      </x:c>
      <x:c r="B471" s="75" t="n">
        <x:v>46286</x:v>
      </x:c>
      <x:c r="C471" s="71" t="str">
        <x:v>High</x:v>
      </x:c>
      <x:c r="D471" s="71" t="str">
        <x:v>FG-007</x:v>
      </x:c>
      <x:c r="E471" s="71" t="str">
        <x:v>RM-065</x:v>
      </x:c>
      <x:c r="F471" s="71" t="str">
        <x:v>Packaging 065</x:v>
      </x:c>
      <x:c r="G471" s="76" t="n">
        <x:v>100</x:v>
      </x:c>
      <x:c r="H471" s="76" t="n">
        <x:v>117.99</x:v>
      </x:c>
      <x:c r="I471" s="76" t="n">
        <x:f>G471*H471</x:f>
        <x:v>11799</x:v>
      </x:c>
      <x:c r="J471" s="76" t="n">
        <x:f>IFERROR(INDEX('Inventory'!$E$2:$E$71,MATCH(E471,'Inventory'!$A$2:$A$71,0)),0)</x:f>
        <x:v>9289</x:v>
      </x:c>
      <x:c r="K471" s="76" t="n">
        <x:f>IFERROR(INDEX('Inventory'!$F$2:$F$71,MATCH(E471,'Inventory'!$A$2:$A$71,0)),0)</x:f>
        <x:v>282</x:v>
      </x:c>
      <x:c r="L471" s="76" t="n">
        <x:f>SUMIFS('Open_POs'!$D$2:$D$26,'Open_POs'!$B$2:$B$26,E471,'Open_POs'!$E$2:$E$26,"&lt;="&amp;B471)</x:f>
        <x:v>0</x:v>
      </x:c>
      <x:c r="M471" s="76" t="n">
        <x:f>J471+L471</x:f>
        <x:v>9289</x:v>
      </x:c>
      <x:c r="N471" s="76" t="n">
        <x:f>SUMIFS($I$2:I471,$E$2:E471,E471)</x:f>
        <x:v>16518.6</x:v>
      </x:c>
      <x:c r="O471" s="76" t="n">
        <x:f>M471-N471</x:f>
        <x:v>-7229.5999999999985</x:v>
      </x:c>
      <x:c r="P471" s="71" t="str">
        <x:f>IF(O471&lt;0,"SHORT",IF(O471&lt;K471,"BELOW TARGET","COVERED"))</x:f>
        <x:v>SHORT</x:v>
      </x:c>
      <x:c r="Q471" s="63" t="n">
        <x:f>IF(AND(P471="SHORT",COUNTIFS($E$2:E471,E471,$P$2:P471,"SHORT")=1),B471,"")</x:f>
        <x:v>46286</x:v>
      </x:c>
    </x:row>
    <x:row r="472" ht="15" customHeight="1">
      <x:c r="A472" s="71" t="str">
        <x:v>SO-26073</x:v>
      </x:c>
      <x:c r="B472" s="75" t="n">
        <x:v>46286</x:v>
      </x:c>
      <x:c r="C472" s="71" t="str">
        <x:v>High</x:v>
      </x:c>
      <x:c r="D472" s="71" t="str">
        <x:v>FG-006</x:v>
      </x:c>
      <x:c r="E472" s="71" t="str">
        <x:v>RM-021</x:v>
      </x:c>
      <x:c r="F472" s="71" t="str">
        <x:v>Resin 021</x:v>
      </x:c>
      <x:c r="G472" s="76" t="n">
        <x:v>100</x:v>
      </x:c>
      <x:c r="H472" s="76" t="n">
        <x:v>47.4</x:v>
      </x:c>
      <x:c r="I472" s="76" t="n">
        <x:f>G472*H472</x:f>
        <x:v>4740</x:v>
      </x:c>
      <x:c r="J472" s="76" t="n">
        <x:f>IFERROR(INDEX('Inventory'!$E$2:$E$71,MATCH(E472,'Inventory'!$A$2:$A$71,0)),0)</x:f>
        <x:v>8041</x:v>
      </x:c>
      <x:c r="K472" s="76" t="n">
        <x:f>IFERROR(INDEX('Inventory'!$F$2:$F$71,MATCH(E472,'Inventory'!$A$2:$A$71,0)),0)</x:f>
        <x:v>264</x:v>
      </x:c>
      <x:c r="L472" s="76" t="n">
        <x:f>SUMIFS('Open_POs'!$D$2:$D$26,'Open_POs'!$B$2:$B$26,E472,'Open_POs'!$E$2:$E$26,"&lt;="&amp;B472)</x:f>
        <x:v>0</x:v>
      </x:c>
      <x:c r="M472" s="76" t="n">
        <x:f>J472+L472</x:f>
        <x:v>8041</x:v>
      </x:c>
      <x:c r="N472" s="76" t="n">
        <x:f>SUMIFS($I$2:I472,$E$2:E472,E472)</x:f>
        <x:v>24006.1</x:v>
      </x:c>
      <x:c r="O472" s="76" t="n">
        <x:f>M472-N472</x:f>
        <x:v>-15965.099999999999</x:v>
      </x:c>
      <x:c r="P472" s="71" t="str">
        <x:f>IF(O472&lt;0,"SHORT",IF(O472&lt;K472,"BELOW TARGET","COVERED"))</x:f>
        <x:v>SHORT</x:v>
      </x:c>
      <x:c r="Q472" s="63" t="str">
        <x:f>IF(AND(P472="SHORT",COUNTIFS($E$2:E472,E472,$P$2:P472,"SHORT")=1),B472,"")</x:f>
      </x:c>
    </x:row>
    <x:row r="473" ht="15" customHeight="1">
      <x:c r="A473" s="71" t="str">
        <x:v>SO-26073</x:v>
      </x:c>
      <x:c r="B473" s="75" t="n">
        <x:v>46286</x:v>
      </x:c>
      <x:c r="C473" s="71" t="str">
        <x:v>High</x:v>
      </x:c>
      <x:c r="D473" s="71" t="str">
        <x:v>FG-006</x:v>
      </x:c>
      <x:c r="E473" s="71" t="str">
        <x:v>RM-027</x:v>
      </x:c>
      <x:c r="F473" s="71" t="str">
        <x:v>Pigment 027</x:v>
      </x:c>
      <x:c r="G473" s="76" t="n">
        <x:v>100</x:v>
      </x:c>
      <x:c r="H473" s="76" t="n">
        <x:v>47.98</x:v>
      </x:c>
      <x:c r="I473" s="76" t="n">
        <x:f>G473*H473</x:f>
        <x:v>4798</x:v>
      </x:c>
      <x:c r="J473" s="76" t="n">
        <x:f>IFERROR(INDEX('Inventory'!$E$2:$E$71,MATCH(E473,'Inventory'!$A$2:$A$71,0)),0)</x:f>
        <x:v>5600</x:v>
      </x:c>
      <x:c r="K473" s="76" t="n">
        <x:f>IFERROR(INDEX('Inventory'!$F$2:$F$71,MATCH(E473,'Inventory'!$A$2:$A$71,0)),0)</x:f>
        <x:v>267</x:v>
      </x:c>
      <x:c r="L473" s="76" t="n">
        <x:f>SUMIFS('Open_POs'!$D$2:$D$26,'Open_POs'!$B$2:$B$26,E473,'Open_POs'!$E$2:$E$26,"&lt;="&amp;B473)</x:f>
        <x:v>0</x:v>
      </x:c>
      <x:c r="M473" s="76" t="n">
        <x:f>J473+L473</x:f>
        <x:v>5600</x:v>
      </x:c>
      <x:c r="N473" s="76" t="n">
        <x:f>SUMIFS($I$2:I473,$E$2:E473,E473)</x:f>
        <x:v>22643</x:v>
      </x:c>
      <x:c r="O473" s="76" t="n">
        <x:f>M473-N473</x:f>
        <x:v>-17043</x:v>
      </x:c>
      <x:c r="P473" s="71" t="str">
        <x:f>IF(O473&lt;0,"SHORT",IF(O473&lt;K473,"BELOW TARGET","COVERED"))</x:f>
        <x:v>SHORT</x:v>
      </x:c>
      <x:c r="Q473" s="63" t="str">
        <x:f>IF(AND(P473="SHORT",COUNTIFS($E$2:E473,E473,$P$2:P473,"SHORT")=1),B473,"")</x:f>
      </x:c>
    </x:row>
    <x:row r="474" ht="15" customHeight="1">
      <x:c r="A474" s="71" t="str">
        <x:v>SO-26073</x:v>
      </x:c>
      <x:c r="B474" s="75" t="n">
        <x:v>46286</x:v>
      </x:c>
      <x:c r="C474" s="71" t="str">
        <x:v>High</x:v>
      </x:c>
      <x:c r="D474" s="71" t="str">
        <x:v>FG-006</x:v>
      </x:c>
      <x:c r="E474" s="71" t="str">
        <x:v>RM-030</x:v>
      </x:c>
      <x:c r="F474" s="71" t="str">
        <x:v>Packaging 030</x:v>
      </x:c>
      <x:c r="G474" s="76" t="n">
        <x:v>100</x:v>
      </x:c>
      <x:c r="H474" s="76" t="n">
        <x:v>62.11</x:v>
      </x:c>
      <x:c r="I474" s="76" t="n">
        <x:f>G474*H474</x:f>
        <x:v>6211</x:v>
      </x:c>
      <x:c r="J474" s="76" t="n">
        <x:f>IFERROR(INDEX('Inventory'!$E$2:$E$71,MATCH(E474,'Inventory'!$A$2:$A$71,0)),0)</x:f>
        <x:v>9755</x:v>
      </x:c>
      <x:c r="K474" s="76" t="n">
        <x:f>IFERROR(INDEX('Inventory'!$F$2:$F$71,MATCH(E474,'Inventory'!$A$2:$A$71,0)),0)</x:f>
        <x:v>696</x:v>
      </x:c>
      <x:c r="L474" s="76" t="n">
        <x:f>SUMIFS('Open_POs'!$D$2:$D$26,'Open_POs'!$B$2:$B$26,E474,'Open_POs'!$E$2:$E$26,"&lt;="&amp;B474)</x:f>
        <x:v>2500</x:v>
      </x:c>
      <x:c r="M474" s="76" t="n">
        <x:f>J474+L474</x:f>
        <x:v>12255</x:v>
      </x:c>
      <x:c r="N474" s="76" t="n">
        <x:f>SUMIFS($I$2:I474,$E$2:E474,E474)</x:f>
        <x:v>18633</x:v>
      </x:c>
      <x:c r="O474" s="76" t="n">
        <x:f>M474-N474</x:f>
        <x:v>-6378</x:v>
      </x:c>
      <x:c r="P474" s="71" t="str">
        <x:f>IF(O474&lt;0,"SHORT",IF(O474&lt;K474,"BELOW TARGET","COVERED"))</x:f>
        <x:v>SHORT</x:v>
      </x:c>
      <x:c r="Q474" s="63" t="str">
        <x:f>IF(AND(P474="SHORT",COUNTIFS($E$2:E474,E474,$P$2:P474,"SHORT")=1),B474,"")</x:f>
      </x:c>
    </x:row>
    <x:row r="475" ht="15" customHeight="1">
      <x:c r="A475" s="71" t="str">
        <x:v>SO-26073</x:v>
      </x:c>
      <x:c r="B475" s="75" t="n">
        <x:v>46286</x:v>
      </x:c>
      <x:c r="C475" s="71" t="str">
        <x:v>High</x:v>
      </x:c>
      <x:c r="D475" s="71" t="str">
        <x:v>FG-006</x:v>
      </x:c>
      <x:c r="E475" s="71" t="str">
        <x:v>RM-036</x:v>
      </x:c>
      <x:c r="F475" s="71" t="str">
        <x:v>Resin 036</x:v>
      </x:c>
      <x:c r="G475" s="76" t="n">
        <x:v>100</x:v>
      </x:c>
      <x:c r="H475" s="76" t="n">
        <x:v>70.07</x:v>
      </x:c>
      <x:c r="I475" s="76" t="n">
        <x:f>G475*H475</x:f>
        <x:v>7006.999999999999</x:v>
      </x:c>
      <x:c r="J475" s="76" t="n">
        <x:f>IFERROR(INDEX('Inventory'!$E$2:$E$71,MATCH(E475,'Inventory'!$A$2:$A$71,0)),0)</x:f>
        <x:v>12427</x:v>
      </x:c>
      <x:c r="K475" s="76" t="n">
        <x:f>IFERROR(INDEX('Inventory'!$F$2:$F$71,MATCH(E475,'Inventory'!$A$2:$A$71,0)),0)</x:f>
        <x:v>1016</x:v>
      </x:c>
      <x:c r="L475" s="76" t="n">
        <x:f>SUMIFS('Open_POs'!$D$2:$D$26,'Open_POs'!$B$2:$B$26,E475,'Open_POs'!$E$2:$E$26,"&lt;="&amp;B475)</x:f>
        <x:v>1000</x:v>
      </x:c>
      <x:c r="M475" s="76" t="n">
        <x:f>J475+L475</x:f>
        <x:v>13427</x:v>
      </x:c>
      <x:c r="N475" s="76" t="n">
        <x:f>SUMIFS($I$2:I475,$E$2:E475,E475)</x:f>
        <x:v>49635.4</x:v>
      </x:c>
      <x:c r="O475" s="76" t="n">
        <x:f>M475-N475</x:f>
        <x:v>-36208.4</x:v>
      </x:c>
      <x:c r="P475" s="71" t="str">
        <x:f>IF(O475&lt;0,"SHORT",IF(O475&lt;K475,"BELOW TARGET","COVERED"))</x:f>
        <x:v>SHORT</x:v>
      </x:c>
      <x:c r="Q475" s="63" t="str">
        <x:f>IF(AND(P475="SHORT",COUNTIFS($E$2:E475,E475,$P$2:P475,"SHORT")=1),B475,"")</x:f>
      </x:c>
    </x:row>
    <x:row r="476" ht="15" customHeight="1">
      <x:c r="A476" s="71" t="str">
        <x:v>SO-26073</x:v>
      </x:c>
      <x:c r="B476" s="75" t="n">
        <x:v>46286</x:v>
      </x:c>
      <x:c r="C476" s="71" t="str">
        <x:v>High</x:v>
      </x:c>
      <x:c r="D476" s="71" t="str">
        <x:v>FG-006</x:v>
      </x:c>
      <x:c r="E476" s="71" t="str">
        <x:v>RM-044</x:v>
      </x:c>
      <x:c r="F476" s="71" t="str">
        <x:v>Additive 044</x:v>
      </x:c>
      <x:c r="G476" s="76" t="n">
        <x:v>100</x:v>
      </x:c>
      <x:c r="H476" s="76" t="n">
        <x:v>26.77</x:v>
      </x:c>
      <x:c r="I476" s="76" t="n">
        <x:f>G476*H476</x:f>
        <x:v>2677</x:v>
      </x:c>
      <x:c r="J476" s="76" t="n">
        <x:f>IFERROR(INDEX('Inventory'!$E$2:$E$71,MATCH(E476,'Inventory'!$A$2:$A$71,0)),0)</x:f>
        <x:v>10361</x:v>
      </x:c>
      <x:c r="K476" s="76" t="n">
        <x:f>IFERROR(INDEX('Inventory'!$F$2:$F$71,MATCH(E476,'Inventory'!$A$2:$A$71,0)),0)</x:f>
        <x:v>571</x:v>
      </x:c>
      <x:c r="L476" s="76" t="n">
        <x:f>SUMIFS('Open_POs'!$D$2:$D$26,'Open_POs'!$B$2:$B$26,E476,'Open_POs'!$E$2:$E$26,"&lt;="&amp;B476)</x:f>
        <x:v>0</x:v>
      </x:c>
      <x:c r="M476" s="76" t="n">
        <x:f>J476+L476</x:f>
        <x:v>10361</x:v>
      </x:c>
      <x:c r="N476" s="76" t="n">
        <x:f>SUMIFS($I$2:I476,$E$2:E476,E476)</x:f>
        <x:v>29150.6</x:v>
      </x:c>
      <x:c r="O476" s="76" t="n">
        <x:f>M476-N476</x:f>
        <x:v>-18789.6</x:v>
      </x:c>
      <x:c r="P476" s="71" t="str">
        <x:f>IF(O476&lt;0,"SHORT",IF(O476&lt;K476,"BELOW TARGET","COVERED"))</x:f>
        <x:v>SHORT</x:v>
      </x:c>
      <x:c r="Q476" s="63" t="str">
        <x:f>IF(AND(P476="SHORT",COUNTIFS($E$2:E476,E476,$P$2:P476,"SHORT")=1),B476,"")</x:f>
      </x:c>
    </x:row>
    <x:row r="477" ht="15" customHeight="1">
      <x:c r="A477" s="71" t="str">
        <x:v>SO-26073</x:v>
      </x:c>
      <x:c r="B477" s="75" t="n">
        <x:v>46286</x:v>
      </x:c>
      <x:c r="C477" s="71" t="str">
        <x:v>High</x:v>
      </x:c>
      <x:c r="D477" s="71" t="str">
        <x:v>FG-006</x:v>
      </x:c>
      <x:c r="E477" s="71" t="str">
        <x:v>RM-059</x:v>
      </x:c>
      <x:c r="F477" s="71" t="str">
        <x:v>Additive 059</x:v>
      </x:c>
      <x:c r="G477" s="76" t="n">
        <x:v>100</x:v>
      </x:c>
      <x:c r="H477" s="76" t="n">
        <x:v>20.16</x:v>
      </x:c>
      <x:c r="I477" s="76" t="n">
        <x:f>G477*H477</x:f>
        <x:v>2016</x:v>
      </x:c>
      <x:c r="J477" s="76" t="n">
        <x:f>IFERROR(INDEX('Inventory'!$E$2:$E$71,MATCH(E477,'Inventory'!$A$2:$A$71,0)),0)</x:f>
        <x:v>10488</x:v>
      </x:c>
      <x:c r="K477" s="76" t="n">
        <x:f>IFERROR(INDEX('Inventory'!$F$2:$F$71,MATCH(E477,'Inventory'!$A$2:$A$71,0)),0)</x:f>
        <x:v>1442</x:v>
      </x:c>
      <x:c r="L477" s="76" t="n">
        <x:f>SUMIFS('Open_POs'!$D$2:$D$26,'Open_POs'!$B$2:$B$26,E477,'Open_POs'!$E$2:$E$26,"&lt;="&amp;B477)</x:f>
        <x:v>5000</x:v>
      </x:c>
      <x:c r="M477" s="76" t="n">
        <x:f>J477+L477</x:f>
        <x:v>15488</x:v>
      </x:c>
      <x:c r="N477" s="76" t="n">
        <x:f>SUMIFS($I$2:I477,$E$2:E477,E477)</x:f>
        <x:v>49664.600000000006</x:v>
      </x:c>
      <x:c r="O477" s="76" t="n">
        <x:f>M477-N477</x:f>
        <x:v>-34176.600000000006</x:v>
      </x:c>
      <x:c r="P477" s="71" t="str">
        <x:f>IF(O477&lt;0,"SHORT",IF(O477&lt;K477,"BELOW TARGET","COVERED"))</x:f>
        <x:v>SHORT</x:v>
      </x:c>
      <x:c r="Q477" s="63" t="str">
        <x:f>IF(AND(P477="SHORT",COUNTIFS($E$2:E477,E477,$P$2:P477,"SHORT")=1),B477,"")</x:f>
      </x:c>
    </x:row>
    <x:row r="478" ht="15" customHeight="1">
      <x:c r="A478" s="71" t="str">
        <x:v>SO-26033</x:v>
      </x:c>
      <x:c r="B478" s="75" t="n">
        <x:v>46287</x:v>
      </x:c>
      <x:c r="C478" s="71" t="str">
        <x:v>Normal</x:v>
      </x:c>
      <x:c r="D478" s="71" t="str">
        <x:v>FG-021</x:v>
      </x:c>
      <x:c r="E478" s="71" t="str">
        <x:v>RM-001</x:v>
      </x:c>
      <x:c r="F478" s="71" t="str">
        <x:v>Resin 001</x:v>
      </x:c>
      <x:c r="G478" s="76" t="n">
        <x:v>20</x:v>
      </x:c>
      <x:c r="H478" s="76" t="n">
        <x:v>56.97</x:v>
      </x:c>
      <x:c r="I478" s="76" t="n">
        <x:f>G478*H478</x:f>
        <x:v>1139.4</x:v>
      </x:c>
      <x:c r="J478" s="76" t="n">
        <x:f>IFERROR(INDEX('Inventory'!$E$2:$E$71,MATCH(E478,'Inventory'!$A$2:$A$71,0)),0)</x:f>
        <x:v>9214</x:v>
      </x:c>
      <x:c r="K478" s="76" t="n">
        <x:f>IFERROR(INDEX('Inventory'!$F$2:$F$71,MATCH(E478,'Inventory'!$A$2:$A$71,0)),0)</x:f>
        <x:v>713</x:v>
      </x:c>
      <x:c r="L478" s="76" t="n">
        <x:f>SUMIFS('Open_POs'!$D$2:$D$26,'Open_POs'!$B$2:$B$26,E478,'Open_POs'!$E$2:$E$26,"&lt;="&amp;B478)</x:f>
        <x:v>0</x:v>
      </x:c>
      <x:c r="M478" s="76" t="n">
        <x:f>J478+L478</x:f>
        <x:v>9214</x:v>
      </x:c>
      <x:c r="N478" s="76" t="n">
        <x:f>SUMIFS($I$2:I478,$E$2:E478,E478)</x:f>
        <x:v>19744.800000000003</x:v>
      </x:c>
      <x:c r="O478" s="76" t="n">
        <x:f>M478-N478</x:f>
        <x:v>-10530.800000000003</x:v>
      </x:c>
      <x:c r="P478" s="71" t="str">
        <x:f>IF(O478&lt;0,"SHORT",IF(O478&lt;K478,"BELOW TARGET","COVERED"))</x:f>
        <x:v>SHORT</x:v>
      </x:c>
      <x:c r="Q478" s="63" t="str">
        <x:f>IF(AND(P478="SHORT",COUNTIFS($E$2:E478,E478,$P$2:P478,"SHORT")=1),B478,"")</x:f>
      </x:c>
    </x:row>
    <x:row r="479" ht="15" customHeight="1">
      <x:c r="A479" s="71" t="str">
        <x:v>SO-26033</x:v>
      </x:c>
      <x:c r="B479" s="75" t="n">
        <x:v>46287</x:v>
      </x:c>
      <x:c r="C479" s="71" t="str">
        <x:v>Normal</x:v>
      </x:c>
      <x:c r="D479" s="71" t="str">
        <x:v>FG-021</x:v>
      </x:c>
      <x:c r="E479" s="71" t="str">
        <x:v>RM-013</x:v>
      </x:c>
      <x:c r="F479" s="71" t="str">
        <x:v>Filler 013</x:v>
      </x:c>
      <x:c r="G479" s="76" t="n">
        <x:v>20</x:v>
      </x:c>
      <x:c r="H479" s="76" t="n">
        <x:v>14.71</x:v>
      </x:c>
      <x:c r="I479" s="76" t="n">
        <x:f>G479*H479</x:f>
        <x:v>294.20000000000005</x:v>
      </x:c>
      <x:c r="J479" s="76" t="n">
        <x:f>IFERROR(INDEX('Inventory'!$E$2:$E$71,MATCH(E479,'Inventory'!$A$2:$A$71,0)),0)</x:f>
        <x:v>16230</x:v>
      </x:c>
      <x:c r="K479" s="76" t="n">
        <x:f>IFERROR(INDEX('Inventory'!$F$2:$F$71,MATCH(E479,'Inventory'!$A$2:$A$71,0)),0)</x:f>
        <x:v>1037</x:v>
      </x:c>
      <x:c r="L479" s="76" t="n">
        <x:f>SUMIFS('Open_POs'!$D$2:$D$26,'Open_POs'!$B$2:$B$26,E479,'Open_POs'!$E$2:$E$26,"&lt;="&amp;B479)</x:f>
        <x:v>0</x:v>
      </x:c>
      <x:c r="M479" s="76" t="n">
        <x:f>J479+L479</x:f>
        <x:v>16230</x:v>
      </x:c>
      <x:c r="N479" s="76" t="n">
        <x:f>SUMIFS($I$2:I479,$E$2:E479,E479)</x:f>
        <x:v>11635.600000000002</x:v>
      </x:c>
      <x:c r="O479" s="76" t="n">
        <x:f>M479-N479</x:f>
        <x:v>4594.399999999998</x:v>
      </x:c>
      <x:c r="P479" s="71" t="str">
        <x:f>IF(O479&lt;0,"SHORT",IF(O479&lt;K479,"BELOW TARGET","COVERED"))</x:f>
        <x:v>COVERED</x:v>
      </x:c>
      <x:c r="Q479" s="63" t="str">
        <x:f>IF(AND(P479="SHORT",COUNTIFS($E$2:E479,E479,$P$2:P479,"SHORT")=1),B479,"")</x:f>
      </x:c>
    </x:row>
    <x:row r="480" ht="15" customHeight="1">
      <x:c r="A480" s="71" t="str">
        <x:v>SO-26033</x:v>
      </x:c>
      <x:c r="B480" s="75" t="n">
        <x:v>46287</x:v>
      </x:c>
      <x:c r="C480" s="71" t="str">
        <x:v>Normal</x:v>
      </x:c>
      <x:c r="D480" s="71" t="str">
        <x:v>FG-021</x:v>
      </x:c>
      <x:c r="E480" s="71" t="str">
        <x:v>RM-018</x:v>
      </x:c>
      <x:c r="F480" s="71" t="str">
        <x:v>Filler 018</x:v>
      </x:c>
      <x:c r="G480" s="76" t="n">
        <x:v>20</x:v>
      </x:c>
      <x:c r="H480" s="76" t="n">
        <x:v>37.67</x:v>
      </x:c>
      <x:c r="I480" s="76" t="n">
        <x:f>G480*H480</x:f>
        <x:v>753.4000000000001</x:v>
      </x:c>
      <x:c r="J480" s="76" t="n">
        <x:f>IFERROR(INDEX('Inventory'!$E$2:$E$71,MATCH(E480,'Inventory'!$A$2:$A$71,0)),0)</x:f>
        <x:v>17607</x:v>
      </x:c>
      <x:c r="K480" s="76" t="n">
        <x:f>IFERROR(INDEX('Inventory'!$F$2:$F$71,MATCH(E480,'Inventory'!$A$2:$A$71,0)),0)</x:f>
        <x:v>302</x:v>
      </x:c>
      <x:c r="L480" s="76" t="n">
        <x:f>SUMIFS('Open_POs'!$D$2:$D$26,'Open_POs'!$B$2:$B$26,E480,'Open_POs'!$E$2:$E$26,"&lt;="&amp;B480)</x:f>
        <x:v>10000</x:v>
      </x:c>
      <x:c r="M480" s="76" t="n">
        <x:f>J480+L480</x:f>
        <x:v>27607</x:v>
      </x:c>
      <x:c r="N480" s="76" t="n">
        <x:f>SUMIFS($I$2:I480,$E$2:E480,E480)</x:f>
        <x:v>11700.6</x:v>
      </x:c>
      <x:c r="O480" s="76" t="n">
        <x:f>M480-N480</x:f>
        <x:v>15906.4</x:v>
      </x:c>
      <x:c r="P480" s="71" t="str">
        <x:f>IF(O480&lt;0,"SHORT",IF(O480&lt;K480,"BELOW TARGET","COVERED"))</x:f>
        <x:v>COVERED</x:v>
      </x:c>
      <x:c r="Q480" s="63" t="str">
        <x:f>IF(AND(P480="SHORT",COUNTIFS($E$2:E480,E480,$P$2:P480,"SHORT")=1),B480,"")</x:f>
      </x:c>
    </x:row>
    <x:row r="481" ht="15" customHeight="1">
      <x:c r="A481" s="71" t="str">
        <x:v>SO-26033</x:v>
      </x:c>
      <x:c r="B481" s="75" t="n">
        <x:v>46287</x:v>
      </x:c>
      <x:c r="C481" s="71" t="str">
        <x:v>Normal</x:v>
      </x:c>
      <x:c r="D481" s="71" t="str">
        <x:v>FG-021</x:v>
      </x:c>
      <x:c r="E481" s="71" t="str">
        <x:v>RM-020</x:v>
      </x:c>
      <x:c r="F481" s="71" t="str">
        <x:v>Packaging 020</x:v>
      </x:c>
      <x:c r="G481" s="76" t="n">
        <x:v>20</x:v>
      </x:c>
      <x:c r="H481" s="76" t="n">
        <x:v>51.42</x:v>
      </x:c>
      <x:c r="I481" s="76" t="n">
        <x:f>G481*H481</x:f>
        <x:v>1028.4</x:v>
      </x:c>
      <x:c r="J481" s="76" t="n">
        <x:f>IFERROR(INDEX('Inventory'!$E$2:$E$71,MATCH(E481,'Inventory'!$A$2:$A$71,0)),0)</x:f>
        <x:v>10528</x:v>
      </x:c>
      <x:c r="K481" s="76" t="n">
        <x:f>IFERROR(INDEX('Inventory'!$F$2:$F$71,MATCH(E481,'Inventory'!$A$2:$A$71,0)),0)</x:f>
        <x:v>881</x:v>
      </x:c>
      <x:c r="L481" s="76" t="n">
        <x:f>SUMIFS('Open_POs'!$D$2:$D$26,'Open_POs'!$B$2:$B$26,E481,'Open_POs'!$E$2:$E$26,"&lt;="&amp;B481)</x:f>
        <x:v>2500</x:v>
      </x:c>
      <x:c r="M481" s="76" t="n">
        <x:f>J481+L481</x:f>
        <x:v>13028</x:v>
      </x:c>
      <x:c r="N481" s="76" t="n">
        <x:f>SUMIFS($I$2:I481,$E$2:E481,E481)</x:f>
        <x:v>20954.800000000003</x:v>
      </x:c>
      <x:c r="O481" s="76" t="n">
        <x:f>M481-N481</x:f>
        <x:v>-7926.800000000003</x:v>
      </x:c>
      <x:c r="P481" s="71" t="str">
        <x:f>IF(O481&lt;0,"SHORT",IF(O481&lt;K481,"BELOW TARGET","COVERED"))</x:f>
        <x:v>SHORT</x:v>
      </x:c>
      <x:c r="Q481" s="63" t="str">
        <x:f>IF(AND(P481="SHORT",COUNTIFS($E$2:E481,E481,$P$2:P481,"SHORT")=1),B481,"")</x:f>
      </x:c>
    </x:row>
    <x:row r="482" ht="15" customHeight="1">
      <x:c r="A482" s="71" t="str">
        <x:v>SO-26033</x:v>
      </x:c>
      <x:c r="B482" s="75" t="n">
        <x:v>46287</x:v>
      </x:c>
      <x:c r="C482" s="71" t="str">
        <x:v>Normal</x:v>
      </x:c>
      <x:c r="D482" s="71" t="str">
        <x:v>FG-021</x:v>
      </x:c>
      <x:c r="E482" s="71" t="str">
        <x:v>RM-044</x:v>
      </x:c>
      <x:c r="F482" s="71" t="str">
        <x:v>Additive 044</x:v>
      </x:c>
      <x:c r="G482" s="76" t="n">
        <x:v>20</x:v>
      </x:c>
      <x:c r="H482" s="76" t="n">
        <x:v>70.82</x:v>
      </x:c>
      <x:c r="I482" s="76" t="n">
        <x:f>G482*H482</x:f>
        <x:v>1416.3999999999999</x:v>
      </x:c>
      <x:c r="J482" s="76" t="n">
        <x:f>IFERROR(INDEX('Inventory'!$E$2:$E$71,MATCH(E482,'Inventory'!$A$2:$A$71,0)),0)</x:f>
        <x:v>10361</x:v>
      </x:c>
      <x:c r="K482" s="76" t="n">
        <x:f>IFERROR(INDEX('Inventory'!$F$2:$F$71,MATCH(E482,'Inventory'!$A$2:$A$71,0)),0)</x:f>
        <x:v>571</x:v>
      </x:c>
      <x:c r="L482" s="76" t="n">
        <x:f>SUMIFS('Open_POs'!$D$2:$D$26,'Open_POs'!$B$2:$B$26,E482,'Open_POs'!$E$2:$E$26,"&lt;="&amp;B482)</x:f>
        <x:v>0</x:v>
      </x:c>
      <x:c r="M482" s="76" t="n">
        <x:f>J482+L482</x:f>
        <x:v>10361</x:v>
      </x:c>
      <x:c r="N482" s="76" t="n">
        <x:f>SUMIFS($I$2:I482,$E$2:E482,E482)</x:f>
        <x:v>30567</x:v>
      </x:c>
      <x:c r="O482" s="76" t="n">
        <x:f>M482-N482</x:f>
        <x:v>-20206</x:v>
      </x:c>
      <x:c r="P482" s="71" t="str">
        <x:f>IF(O482&lt;0,"SHORT",IF(O482&lt;K482,"BELOW TARGET","COVERED"))</x:f>
        <x:v>SHORT</x:v>
      </x:c>
      <x:c r="Q482" s="63" t="str">
        <x:f>IF(AND(P482="SHORT",COUNTIFS($E$2:E482,E482,$P$2:P482,"SHORT")=1),B482,"")</x:f>
      </x:c>
    </x:row>
    <x:row r="483" ht="15" customHeight="1">
      <x:c r="A483" s="71" t="str">
        <x:v>SO-26033</x:v>
      </x:c>
      <x:c r="B483" s="75" t="n">
        <x:v>46287</x:v>
      </x:c>
      <x:c r="C483" s="71" t="str">
        <x:v>Normal</x:v>
      </x:c>
      <x:c r="D483" s="71" t="str">
        <x:v>FG-021</x:v>
      </x:c>
      <x:c r="E483" s="71" t="str">
        <x:v>RM-046</x:v>
      </x:c>
      <x:c r="F483" s="71" t="str">
        <x:v>Resin 046</x:v>
      </x:c>
      <x:c r="G483" s="76" t="n">
        <x:v>20</x:v>
      </x:c>
      <x:c r="H483" s="76" t="n">
        <x:v>25.17</x:v>
      </x:c>
      <x:c r="I483" s="76" t="n">
        <x:f>G483*H483</x:f>
        <x:v>503.40000000000003</x:v>
      </x:c>
      <x:c r="J483" s="76" t="n">
        <x:f>IFERROR(INDEX('Inventory'!$E$2:$E$71,MATCH(E483,'Inventory'!$A$2:$A$71,0)),0)</x:f>
        <x:v>15936</x:v>
      </x:c>
      <x:c r="K483" s="76" t="n">
        <x:f>IFERROR(INDEX('Inventory'!$F$2:$F$71,MATCH(E483,'Inventory'!$A$2:$A$71,0)),0)</x:f>
        <x:v>991</x:v>
      </x:c>
      <x:c r="L483" s="76" t="n">
        <x:f>SUMIFS('Open_POs'!$D$2:$D$26,'Open_POs'!$B$2:$B$26,E483,'Open_POs'!$E$2:$E$26,"&lt;="&amp;B483)</x:f>
        <x:v>0</x:v>
      </x:c>
      <x:c r="M483" s="76" t="n">
        <x:f>J483+L483</x:f>
        <x:v>15936</x:v>
      </x:c>
      <x:c r="N483" s="76" t="n">
        <x:f>SUMIFS($I$2:I483,$E$2:E483,E483)</x:f>
        <x:v>11916.000000000002</x:v>
      </x:c>
      <x:c r="O483" s="76" t="n">
        <x:f>M483-N483</x:f>
        <x:v>4019.999999999998</x:v>
      </x:c>
      <x:c r="P483" s="71" t="str">
        <x:f>IF(O483&lt;0,"SHORT",IF(O483&lt;K483,"BELOW TARGET","COVERED"))</x:f>
        <x:v>COVERED</x:v>
      </x:c>
      <x:c r="Q483" s="63" t="str">
        <x:f>IF(AND(P483="SHORT",COUNTIFS($E$2:E483,E483,$P$2:P483,"SHORT")=1),B483,"")</x:f>
      </x:c>
    </x:row>
    <x:row r="484" ht="15" customHeight="1">
      <x:c r="A484" s="71" t="str">
        <x:v>SO-26033</x:v>
      </x:c>
      <x:c r="B484" s="75" t="n">
        <x:v>46287</x:v>
      </x:c>
      <x:c r="C484" s="71" t="str">
        <x:v>Normal</x:v>
      </x:c>
      <x:c r="D484" s="71" t="str">
        <x:v>FG-021</x:v>
      </x:c>
      <x:c r="E484" s="71" t="str">
        <x:v>RM-063</x:v>
      </x:c>
      <x:c r="F484" s="71" t="str">
        <x:v>Filler 063</x:v>
      </x:c>
      <x:c r="G484" s="76" t="n">
        <x:v>20</x:v>
      </x:c>
      <x:c r="H484" s="76" t="n">
        <x:v>76.56</x:v>
      </x:c>
      <x:c r="I484" s="76" t="n">
        <x:f>G484*H484</x:f>
        <x:v>1531.2</x:v>
      </x:c>
      <x:c r="J484" s="76" t="n">
        <x:f>IFERROR(INDEX('Inventory'!$E$2:$E$71,MATCH(E484,'Inventory'!$A$2:$A$71,0)),0)</x:f>
        <x:v>7508</x:v>
      </x:c>
      <x:c r="K484" s="76" t="n">
        <x:f>IFERROR(INDEX('Inventory'!$F$2:$F$71,MATCH(E484,'Inventory'!$A$2:$A$71,0)),0)</x:f>
        <x:v>1090</x:v>
      </x:c>
      <x:c r="L484" s="76" t="n">
        <x:f>SUMIFS('Open_POs'!$D$2:$D$26,'Open_POs'!$B$2:$B$26,E484,'Open_POs'!$E$2:$E$26,"&lt;="&amp;B484)</x:f>
        <x:v>5000</x:v>
      </x:c>
      <x:c r="M484" s="76" t="n">
        <x:f>J484+L484</x:f>
        <x:v>12508</x:v>
      </x:c>
      <x:c r="N484" s="76" t="n">
        <x:f>SUMIFS($I$2:I484,$E$2:E484,E484)</x:f>
        <x:v>71601.59999999999</x:v>
      </x:c>
      <x:c r="O484" s="76" t="n">
        <x:f>M484-N484</x:f>
        <x:v>-59093.59999999999</x:v>
      </x:c>
      <x:c r="P484" s="71" t="str">
        <x:f>IF(O484&lt;0,"SHORT",IF(O484&lt;K484,"BELOW TARGET","COVERED"))</x:f>
        <x:v>SHORT</x:v>
      </x:c>
      <x:c r="Q484" s="63" t="str">
        <x:f>IF(AND(P484="SHORT",COUNTIFS($E$2:E484,E484,$P$2:P484,"SHORT")=1),B484,"")</x:f>
      </x:c>
    </x:row>
    <x:row r="485" ht="15" customHeight="1">
      <x:c r="A485" s="71" t="str">
        <x:v>SO-26010</x:v>
      </x:c>
      <x:c r="B485" s="75" t="n">
        <x:v>46288</x:v>
      </x:c>
      <x:c r="C485" s="71" t="str">
        <x:v>Normal</x:v>
      </x:c>
      <x:c r="D485" s="71" t="str">
        <x:v>FG-003</x:v>
      </x:c>
      <x:c r="E485" s="71" t="str">
        <x:v>RM-008</x:v>
      </x:c>
      <x:c r="F485" s="71" t="str">
        <x:v>Filler 008</x:v>
      </x:c>
      <x:c r="G485" s="76" t="n">
        <x:v>30</x:v>
      </x:c>
      <x:c r="H485" s="76" t="n">
        <x:v>66.47</x:v>
      </x:c>
      <x:c r="I485" s="76" t="n">
        <x:f>G485*H485</x:f>
        <x:v>1994.1</x:v>
      </x:c>
      <x:c r="J485" s="76" t="n">
        <x:f>IFERROR(INDEX('Inventory'!$E$2:$E$71,MATCH(E485,'Inventory'!$A$2:$A$71,0)),0)</x:f>
        <x:v>430</x:v>
      </x:c>
      <x:c r="K485" s="76" t="n">
        <x:f>IFERROR(INDEX('Inventory'!$F$2:$F$71,MATCH(E485,'Inventory'!$A$2:$A$71,0)),0)</x:f>
        <x:v>1037</x:v>
      </x:c>
      <x:c r="L485" s="76" t="n">
        <x:f>SUMIFS('Open_POs'!$D$2:$D$26,'Open_POs'!$B$2:$B$26,E485,'Open_POs'!$E$2:$E$26,"&lt;="&amp;B485)</x:f>
        <x:v>0</x:v>
      </x:c>
      <x:c r="M485" s="76" t="n">
        <x:f>J485+L485</x:f>
        <x:v>430</x:v>
      </x:c>
      <x:c r="N485" s="76" t="n">
        <x:f>SUMIFS($I$2:I485,$E$2:E485,E485)</x:f>
        <x:v>32145.499999999996</x:v>
      </x:c>
      <x:c r="O485" s="76" t="n">
        <x:f>M485-N485</x:f>
        <x:v>-31715.499999999996</x:v>
      </x:c>
      <x:c r="P485" s="71" t="str">
        <x:f>IF(O485&lt;0,"SHORT",IF(O485&lt;K485,"BELOW TARGET","COVERED"))</x:f>
        <x:v>SHORT</x:v>
      </x:c>
      <x:c r="Q485" s="63" t="str">
        <x:f>IF(AND(P485="SHORT",COUNTIFS($E$2:E485,E485,$P$2:P485,"SHORT")=1),B485,"")</x:f>
      </x:c>
    </x:row>
    <x:row r="486" ht="15" customHeight="1">
      <x:c r="A486" s="71" t="str">
        <x:v>SO-26010</x:v>
      </x:c>
      <x:c r="B486" s="75" t="n">
        <x:v>46288</x:v>
      </x:c>
      <x:c r="C486" s="71" t="str">
        <x:v>Normal</x:v>
      </x:c>
      <x:c r="D486" s="71" t="str">
        <x:v>FG-003</x:v>
      </x:c>
      <x:c r="E486" s="71" t="str">
        <x:v>RM-009</x:v>
      </x:c>
      <x:c r="F486" s="71" t="str">
        <x:v>Additive 009</x:v>
      </x:c>
      <x:c r="G486" s="76" t="n">
        <x:v>30</x:v>
      </x:c>
      <x:c r="H486" s="76" t="n">
        <x:v>23.43</x:v>
      </x:c>
      <x:c r="I486" s="76" t="n">
        <x:f>G486*H486</x:f>
        <x:v>702.9</x:v>
      </x:c>
      <x:c r="J486" s="76" t="n">
        <x:f>IFERROR(INDEX('Inventory'!$E$2:$E$71,MATCH(E486,'Inventory'!$A$2:$A$71,0)),0)</x:f>
        <x:v>13813</x:v>
      </x:c>
      <x:c r="K486" s="76" t="n">
        <x:f>IFERROR(INDEX('Inventory'!$F$2:$F$71,MATCH(E486,'Inventory'!$A$2:$A$71,0)),0)</x:f>
        <x:v>1377</x:v>
      </x:c>
      <x:c r="L486" s="76" t="n">
        <x:f>SUMIFS('Open_POs'!$D$2:$D$26,'Open_POs'!$B$2:$B$26,E486,'Open_POs'!$E$2:$E$26,"&lt;="&amp;B486)</x:f>
        <x:v>0</x:v>
      </x:c>
      <x:c r="M486" s="76" t="n">
        <x:f>J486+L486</x:f>
        <x:v>13813</x:v>
      </x:c>
      <x:c r="N486" s="76" t="n">
        <x:f>SUMIFS($I$2:I486,$E$2:E486,E486)</x:f>
        <x:v>49422.700000000004</x:v>
      </x:c>
      <x:c r="O486" s="76" t="n">
        <x:f>M486-N486</x:f>
        <x:v>-35609.700000000004</x:v>
      </x:c>
      <x:c r="P486" s="71" t="str">
        <x:f>IF(O486&lt;0,"SHORT",IF(O486&lt;K486,"BELOW TARGET","COVERED"))</x:f>
        <x:v>SHORT</x:v>
      </x:c>
      <x:c r="Q486" s="63" t="str">
        <x:f>IF(AND(P486="SHORT",COUNTIFS($E$2:E486,E486,$P$2:P486,"SHORT")=1),B486,"")</x:f>
      </x:c>
    </x:row>
    <x:row r="487" ht="15" customHeight="1">
      <x:c r="A487" s="71" t="str">
        <x:v>SO-26010</x:v>
      </x:c>
      <x:c r="B487" s="75" t="n">
        <x:v>46288</x:v>
      </x:c>
      <x:c r="C487" s="71" t="str">
        <x:v>Normal</x:v>
      </x:c>
      <x:c r="D487" s="71" t="str">
        <x:v>FG-003</x:v>
      </x:c>
      <x:c r="E487" s="71" t="str">
        <x:v>RM-010</x:v>
      </x:c>
      <x:c r="F487" s="71" t="str">
        <x:v>Packaging 010</x:v>
      </x:c>
      <x:c r="G487" s="76" t="n">
        <x:v>30</x:v>
      </x:c>
      <x:c r="H487" s="76" t="n">
        <x:v>62.89</x:v>
      </x:c>
      <x:c r="I487" s="76" t="n">
        <x:f>G487*H487</x:f>
        <x:v>1886.7</x:v>
      </x:c>
      <x:c r="J487" s="76" t="n">
        <x:f>IFERROR(INDEX('Inventory'!$E$2:$E$71,MATCH(E487,'Inventory'!$A$2:$A$71,0)),0)</x:f>
        <x:v>14191</x:v>
      </x:c>
      <x:c r="K487" s="76" t="n">
        <x:f>IFERROR(INDEX('Inventory'!$F$2:$F$71,MATCH(E487,'Inventory'!$A$2:$A$71,0)),0)</x:f>
        <x:v>615</x:v>
      </x:c>
      <x:c r="L487" s="76" t="n">
        <x:f>SUMIFS('Open_POs'!$D$2:$D$26,'Open_POs'!$B$2:$B$26,E487,'Open_POs'!$E$2:$E$26,"&lt;="&amp;B487)</x:f>
        <x:v>0</x:v>
      </x:c>
      <x:c r="M487" s="76" t="n">
        <x:f>J487+L487</x:f>
        <x:v>14191</x:v>
      </x:c>
      <x:c r="N487" s="76" t="n">
        <x:f>SUMIFS($I$2:I487,$E$2:E487,E487)</x:f>
        <x:v>62229.9</x:v>
      </x:c>
      <x:c r="O487" s="76" t="n">
        <x:f>M487-N487</x:f>
        <x:v>-48038.9</x:v>
      </x:c>
      <x:c r="P487" s="71" t="str">
        <x:f>IF(O487&lt;0,"SHORT",IF(O487&lt;K487,"BELOW TARGET","COVERED"))</x:f>
        <x:v>SHORT</x:v>
      </x:c>
      <x:c r="Q487" s="63" t="str">
        <x:f>IF(AND(P487="SHORT",COUNTIFS($E$2:E487,E487,$P$2:P487,"SHORT")=1),B487,"")</x:f>
      </x:c>
    </x:row>
    <x:row r="488" ht="15" customHeight="1">
      <x:c r="A488" s="71" t="str">
        <x:v>SO-26010</x:v>
      </x:c>
      <x:c r="B488" s="75" t="n">
        <x:v>46288</x:v>
      </x:c>
      <x:c r="C488" s="71" t="str">
        <x:v>Normal</x:v>
      </x:c>
      <x:c r="D488" s="71" t="str">
        <x:v>FG-003</x:v>
      </x:c>
      <x:c r="E488" s="71" t="str">
        <x:v>RM-011</x:v>
      </x:c>
      <x:c r="F488" s="71" t="str">
        <x:v>Resin 011</x:v>
      </x:c>
      <x:c r="G488" s="76" t="n">
        <x:v>30</x:v>
      </x:c>
      <x:c r="H488" s="76" t="n">
        <x:v>35.21</x:v>
      </x:c>
      <x:c r="I488" s="76" t="n">
        <x:f>G488*H488</x:f>
        <x:v>1056.3</x:v>
      </x:c>
      <x:c r="J488" s="76" t="n">
        <x:f>IFERROR(INDEX('Inventory'!$E$2:$E$71,MATCH(E488,'Inventory'!$A$2:$A$71,0)),0)</x:f>
        <x:v>16410</x:v>
      </x:c>
      <x:c r="K488" s="76" t="n">
        <x:f>IFERROR(INDEX('Inventory'!$F$2:$F$71,MATCH(E488,'Inventory'!$A$2:$A$71,0)),0)</x:f>
        <x:v>1275</x:v>
      </x:c>
      <x:c r="L488" s="76" t="n">
        <x:f>SUMIFS('Open_POs'!$D$2:$D$26,'Open_POs'!$B$2:$B$26,E488,'Open_POs'!$E$2:$E$26,"&lt;="&amp;B488)</x:f>
        <x:v>0</x:v>
      </x:c>
      <x:c r="M488" s="76" t="n">
        <x:f>J488+L488</x:f>
        <x:v>16410</x:v>
      </x:c>
      <x:c r="N488" s="76" t="n">
        <x:f>SUMIFS($I$2:I488,$E$2:E488,E488)</x:f>
        <x:v>25969.8</x:v>
      </x:c>
      <x:c r="O488" s="76" t="n">
        <x:f>M488-N488</x:f>
        <x:v>-9559.8</x:v>
      </x:c>
      <x:c r="P488" s="71" t="str">
        <x:f>IF(O488&lt;0,"SHORT",IF(O488&lt;K488,"BELOW TARGET","COVERED"))</x:f>
        <x:v>SHORT</x:v>
      </x:c>
      <x:c r="Q488" s="63" t="str">
        <x:f>IF(AND(P488="SHORT",COUNTIFS($E$2:E488,E488,$P$2:P488,"SHORT")=1),B488,"")</x:f>
      </x:c>
    </x:row>
    <x:row r="489" ht="15" customHeight="1">
      <x:c r="A489" s="71" t="str">
        <x:v>SO-26010</x:v>
      </x:c>
      <x:c r="B489" s="75" t="n">
        <x:v>46288</x:v>
      </x:c>
      <x:c r="C489" s="71" t="str">
        <x:v>Normal</x:v>
      </x:c>
      <x:c r="D489" s="71" t="str">
        <x:v>FG-003</x:v>
      </x:c>
      <x:c r="E489" s="71" t="str">
        <x:v>RM-022</x:v>
      </x:c>
      <x:c r="F489" s="71" t="str">
        <x:v>Pigment 022</x:v>
      </x:c>
      <x:c r="G489" s="76" t="n">
        <x:v>30</x:v>
      </x:c>
      <x:c r="H489" s="76" t="n">
        <x:v>56.17</x:v>
      </x:c>
      <x:c r="I489" s="76" t="n">
        <x:f>G489*H489</x:f>
        <x:v>1685.1000000000001</x:v>
      </x:c>
      <x:c r="J489" s="76" t="n">
        <x:f>IFERROR(INDEX('Inventory'!$E$2:$E$71,MATCH(E489,'Inventory'!$A$2:$A$71,0)),0)</x:f>
        <x:v>12228</x:v>
      </x:c>
      <x:c r="K489" s="76" t="n">
        <x:f>IFERROR(INDEX('Inventory'!$F$2:$F$71,MATCH(E489,'Inventory'!$A$2:$A$71,0)),0)</x:f>
        <x:v>411</x:v>
      </x:c>
      <x:c r="L489" s="76" t="n">
        <x:f>SUMIFS('Open_POs'!$D$2:$D$26,'Open_POs'!$B$2:$B$26,E489,'Open_POs'!$E$2:$E$26,"&lt;="&amp;B489)</x:f>
        <x:v>0</x:v>
      </x:c>
      <x:c r="M489" s="76" t="n">
        <x:f>J489+L489</x:f>
        <x:v>12228</x:v>
      </x:c>
      <x:c r="N489" s="76" t="n">
        <x:f>SUMIFS($I$2:I489,$E$2:E489,E489)</x:f>
        <x:v>4493.6</x:v>
      </x:c>
      <x:c r="O489" s="76" t="n">
        <x:f>M489-N489</x:f>
        <x:v>7734.4</x:v>
      </x:c>
      <x:c r="P489" s="71" t="str">
        <x:f>IF(O489&lt;0,"SHORT",IF(O489&lt;K489,"BELOW TARGET","COVERED"))</x:f>
        <x:v>COVERED</x:v>
      </x:c>
      <x:c r="Q489" s="63" t="str">
        <x:f>IF(AND(P489="SHORT",COUNTIFS($E$2:E489,E489,$P$2:P489,"SHORT")=1),B489,"")</x:f>
      </x:c>
    </x:row>
    <x:row r="490" ht="15" customHeight="1">
      <x:c r="A490" s="71" t="str">
        <x:v>SO-26010</x:v>
      </x:c>
      <x:c r="B490" s="75" t="n">
        <x:v>46288</x:v>
      </x:c>
      <x:c r="C490" s="71" t="str">
        <x:v>Normal</x:v>
      </x:c>
      <x:c r="D490" s="71" t="str">
        <x:v>FG-003</x:v>
      </x:c>
      <x:c r="E490" s="71" t="str">
        <x:v>RM-025</x:v>
      </x:c>
      <x:c r="F490" s="71" t="str">
        <x:v>Packaging 025</x:v>
      </x:c>
      <x:c r="G490" s="76" t="n">
        <x:v>30</x:v>
      </x:c>
      <x:c r="H490" s="76" t="n">
        <x:v>72.69</x:v>
      </x:c>
      <x:c r="I490" s="76" t="n">
        <x:f>G490*H490</x:f>
        <x:v>2180.7</x:v>
      </x:c>
      <x:c r="J490" s="76" t="n">
        <x:f>IFERROR(INDEX('Inventory'!$E$2:$E$71,MATCH(E490,'Inventory'!$A$2:$A$71,0)),0)</x:f>
        <x:v>2469</x:v>
      </x:c>
      <x:c r="K490" s="76" t="n">
        <x:f>IFERROR(INDEX('Inventory'!$F$2:$F$71,MATCH(E490,'Inventory'!$A$2:$A$71,0)),0)</x:f>
        <x:v>229</x:v>
      </x:c>
      <x:c r="L490" s="76" t="n">
        <x:f>SUMIFS('Open_POs'!$D$2:$D$26,'Open_POs'!$B$2:$B$26,E490,'Open_POs'!$E$2:$E$26,"&lt;="&amp;B490)</x:f>
        <x:v>10000</x:v>
      </x:c>
      <x:c r="M490" s="76" t="n">
        <x:f>J490+L490</x:f>
        <x:v>12469</x:v>
      </x:c>
      <x:c r="N490" s="76" t="n">
        <x:f>SUMIFS($I$2:I490,$E$2:E490,E490)</x:f>
        <x:v>39278.59999999999</x:v>
      </x:c>
      <x:c r="O490" s="76" t="n">
        <x:f>M490-N490</x:f>
        <x:v>-26809.59999999999</x:v>
      </x:c>
      <x:c r="P490" s="71" t="str">
        <x:f>IF(O490&lt;0,"SHORT",IF(O490&lt;K490,"BELOW TARGET","COVERED"))</x:f>
        <x:v>SHORT</x:v>
      </x:c>
      <x:c r="Q490" s="63" t="str">
        <x:f>IF(AND(P490="SHORT",COUNTIFS($E$2:E490,E490,$P$2:P490,"SHORT")=1),B490,"")</x:f>
      </x:c>
    </x:row>
    <x:row r="491" ht="15" customHeight="1">
      <x:c r="A491" s="71" t="str">
        <x:v>SO-26010</x:v>
      </x:c>
      <x:c r="B491" s="75" t="n">
        <x:v>46288</x:v>
      </x:c>
      <x:c r="C491" s="71" t="str">
        <x:v>Normal</x:v>
      </x:c>
      <x:c r="D491" s="71" t="str">
        <x:v>FG-003</x:v>
      </x:c>
      <x:c r="E491" s="71" t="str">
        <x:v>RM-047</x:v>
      </x:c>
      <x:c r="F491" s="71" t="str">
        <x:v>Pigment 047</x:v>
      </x:c>
      <x:c r="G491" s="76" t="n">
        <x:v>30</x:v>
      </x:c>
      <x:c r="H491" s="76" t="n">
        <x:v>37.94</x:v>
      </x:c>
      <x:c r="I491" s="76" t="n">
        <x:f>G491*H491</x:f>
        <x:v>1138.1999999999998</x:v>
      </x:c>
      <x:c r="J491" s="76" t="n">
        <x:f>IFERROR(INDEX('Inventory'!$E$2:$E$71,MATCH(E491,'Inventory'!$A$2:$A$71,0)),0)</x:f>
        <x:v>4384</x:v>
      </x:c>
      <x:c r="K491" s="76" t="n">
        <x:f>IFERROR(INDEX('Inventory'!$F$2:$F$71,MATCH(E491,'Inventory'!$A$2:$A$71,0)),0)</x:f>
        <x:v>1229</x:v>
      </x:c>
      <x:c r="L491" s="76" t="n">
        <x:f>SUMIFS('Open_POs'!$D$2:$D$26,'Open_POs'!$B$2:$B$26,E491,'Open_POs'!$E$2:$E$26,"&lt;="&amp;B491)</x:f>
        <x:v>0</x:v>
      </x:c>
      <x:c r="M491" s="76" t="n">
        <x:f>J491+L491</x:f>
        <x:v>4384</x:v>
      </x:c>
      <x:c r="N491" s="76" t="n">
        <x:f>SUMIFS($I$2:I491,$E$2:E491,E491)</x:f>
        <x:v>3035.2</x:v>
      </x:c>
      <x:c r="O491" s="76" t="n">
        <x:f>M491-N491</x:f>
        <x:v>1348.8000000000002</x:v>
      </x:c>
      <x:c r="P491" s="71" t="str">
        <x:f>IF(O491&lt;0,"SHORT",IF(O491&lt;K491,"BELOW TARGET","COVERED"))</x:f>
        <x:v>COVERED</x:v>
      </x:c>
      <x:c r="Q491" s="63" t="str">
        <x:f>IF(AND(P491="SHORT",COUNTIFS($E$2:E491,E491,$P$2:P491,"SHORT")=1),B491,"")</x:f>
      </x:c>
    </x:row>
    <x:row r="492" ht="15" customHeight="1">
      <x:c r="A492" s="71" t="str">
        <x:v>SO-26010</x:v>
      </x:c>
      <x:c r="B492" s="75" t="n">
        <x:v>46288</x:v>
      </x:c>
      <x:c r="C492" s="71" t="str">
        <x:v>Normal</x:v>
      </x:c>
      <x:c r="D492" s="71" t="str">
        <x:v>FG-003</x:v>
      </x:c>
      <x:c r="E492" s="71" t="str">
        <x:v>RM-066</x:v>
      </x:c>
      <x:c r="F492" s="71" t="str">
        <x:v>Resin 066</x:v>
      </x:c>
      <x:c r="G492" s="76" t="n">
        <x:v>30</x:v>
      </x:c>
      <x:c r="H492" s="76" t="n">
        <x:v>36.29</x:v>
      </x:c>
      <x:c r="I492" s="76" t="n">
        <x:f>G492*H492</x:f>
        <x:v>1088.7</x:v>
      </x:c>
      <x:c r="J492" s="76" t="n">
        <x:f>IFERROR(INDEX('Inventory'!$E$2:$E$71,MATCH(E492,'Inventory'!$A$2:$A$71,0)),0)</x:f>
        <x:v>10876</x:v>
      </x:c>
      <x:c r="K492" s="76" t="n">
        <x:f>IFERROR(INDEX('Inventory'!$F$2:$F$71,MATCH(E492,'Inventory'!$A$2:$A$71,0)),0)</x:f>
        <x:v>567</x:v>
      </x:c>
      <x:c r="L492" s="76" t="n">
        <x:f>SUMIFS('Open_POs'!$D$2:$D$26,'Open_POs'!$B$2:$B$26,E492,'Open_POs'!$E$2:$E$26,"&lt;="&amp;B492)</x:f>
        <x:v>0</x:v>
      </x:c>
      <x:c r="M492" s="76" t="n">
        <x:f>J492+L492</x:f>
        <x:v>10876</x:v>
      </x:c>
      <x:c r="N492" s="76" t="n">
        <x:f>SUMIFS($I$2:I492,$E$2:E492,E492)</x:f>
        <x:v>12164.800000000001</x:v>
      </x:c>
      <x:c r="O492" s="76" t="n">
        <x:f>M492-N492</x:f>
        <x:v>-1288.800000000001</x:v>
      </x:c>
      <x:c r="P492" s="71" t="str">
        <x:f>IF(O492&lt;0,"SHORT",IF(O492&lt;K492,"BELOW TARGET","COVERED"))</x:f>
        <x:v>SHORT</x:v>
      </x:c>
      <x:c r="Q492" s="63" t="str">
        <x:f>IF(AND(P492="SHORT",COUNTIFS($E$2:E492,E492,$P$2:P492,"SHORT")=1),B492,"")</x:f>
      </x:c>
    </x:row>
    <x:row r="493" ht="15" customHeight="1">
      <x:c r="A493" s="71" t="str">
        <x:v>SO-26042</x:v>
      </x:c>
      <x:c r="B493" s="75" t="n">
        <x:v>46288</x:v>
      </x:c>
      <x:c r="C493" s="71" t="str">
        <x:v>Normal</x:v>
      </x:c>
      <x:c r="D493" s="71" t="str">
        <x:v>FG-019</x:v>
      </x:c>
      <x:c r="E493" s="71" t="str">
        <x:v>RM-007</x:v>
      </x:c>
      <x:c r="F493" s="71" t="str">
        <x:v>Pigment 007</x:v>
      </x:c>
      <x:c r="G493" s="76" t="n">
        <x:v>50</x:v>
      </x:c>
      <x:c r="H493" s="76" t="n">
        <x:v>64.2</x:v>
      </x:c>
      <x:c r="I493" s="76" t="n">
        <x:f>G493*H493</x:f>
        <x:v>3210</x:v>
      </x:c>
      <x:c r="J493" s="76" t="n">
        <x:f>IFERROR(INDEX('Inventory'!$E$2:$E$71,MATCH(E493,'Inventory'!$A$2:$A$71,0)),0)</x:f>
        <x:v>9115</x:v>
      </x:c>
      <x:c r="K493" s="76" t="n">
        <x:f>IFERROR(INDEX('Inventory'!$F$2:$F$71,MATCH(E493,'Inventory'!$A$2:$A$71,0)),0)</x:f>
        <x:v>230</x:v>
      </x:c>
      <x:c r="L493" s="76" t="n">
        <x:f>SUMIFS('Open_POs'!$D$2:$D$26,'Open_POs'!$B$2:$B$26,E493,'Open_POs'!$E$2:$E$26,"&lt;="&amp;B493)</x:f>
        <x:v>2500</x:v>
      </x:c>
      <x:c r="M493" s="76" t="n">
        <x:f>J493+L493</x:f>
        <x:v>11615</x:v>
      </x:c>
      <x:c r="N493" s="76" t="n">
        <x:f>SUMIFS($I$2:I493,$E$2:E493,E493)</x:f>
        <x:v>26989.6</x:v>
      </x:c>
      <x:c r="O493" s="76" t="n">
        <x:f>M493-N493</x:f>
        <x:v>-15374.599999999999</x:v>
      </x:c>
      <x:c r="P493" s="71" t="str">
        <x:f>IF(O493&lt;0,"SHORT",IF(O493&lt;K493,"BELOW TARGET","COVERED"))</x:f>
        <x:v>SHORT</x:v>
      </x:c>
      <x:c r="Q493" s="63" t="str">
        <x:f>IF(AND(P493="SHORT",COUNTIFS($E$2:E493,E493,$P$2:P493,"SHORT")=1),B493,"")</x:f>
      </x:c>
    </x:row>
    <x:row r="494" ht="15" customHeight="1">
      <x:c r="A494" s="71" t="str">
        <x:v>SO-26042</x:v>
      </x:c>
      <x:c r="B494" s="75" t="n">
        <x:v>46288</x:v>
      </x:c>
      <x:c r="C494" s="71" t="str">
        <x:v>Normal</x:v>
      </x:c>
      <x:c r="D494" s="71" t="str">
        <x:v>FG-019</x:v>
      </x:c>
      <x:c r="E494" s="71" t="str">
        <x:v>RM-014</x:v>
      </x:c>
      <x:c r="F494" s="71" t="str">
        <x:v>Additive 014</x:v>
      </x:c>
      <x:c r="G494" s="76" t="n">
        <x:v>50</x:v>
      </x:c>
      <x:c r="H494" s="76" t="n">
        <x:v>61.33</x:v>
      </x:c>
      <x:c r="I494" s="76" t="n">
        <x:f>G494*H494</x:f>
        <x:v>3066.5</x:v>
      </x:c>
      <x:c r="J494" s="76" t="n">
        <x:f>IFERROR(INDEX('Inventory'!$E$2:$E$71,MATCH(E494,'Inventory'!$A$2:$A$71,0)),0)</x:f>
        <x:v>2788</x:v>
      </x:c>
      <x:c r="K494" s="76" t="n">
        <x:f>IFERROR(INDEX('Inventory'!$F$2:$F$71,MATCH(E494,'Inventory'!$A$2:$A$71,0)),0)</x:f>
        <x:v>1133</x:v>
      </x:c>
      <x:c r="L494" s="76" t="n">
        <x:f>SUMIFS('Open_POs'!$D$2:$D$26,'Open_POs'!$B$2:$B$26,E494,'Open_POs'!$E$2:$E$26,"&lt;="&amp;B494)</x:f>
        <x:v>0</x:v>
      </x:c>
      <x:c r="M494" s="76" t="n">
        <x:f>J494+L494</x:f>
        <x:v>2788</x:v>
      </x:c>
      <x:c r="N494" s="76" t="n">
        <x:f>SUMIFS($I$2:I494,$E$2:E494,E494)</x:f>
        <x:v>15332.5</x:v>
      </x:c>
      <x:c r="O494" s="76" t="n">
        <x:f>M494-N494</x:f>
        <x:v>-12544.5</x:v>
      </x:c>
      <x:c r="P494" s="71" t="str">
        <x:f>IF(O494&lt;0,"SHORT",IF(O494&lt;K494,"BELOW TARGET","COVERED"))</x:f>
        <x:v>SHORT</x:v>
      </x:c>
      <x:c r="Q494" s="63" t="str">
        <x:f>IF(AND(P494="SHORT",COUNTIFS($E$2:E494,E494,$P$2:P494,"SHORT")=1),B494,"")</x:f>
      </x:c>
    </x:row>
    <x:row r="495" ht="15" customHeight="1">
      <x:c r="A495" s="71" t="str">
        <x:v>SO-26042</x:v>
      </x:c>
      <x:c r="B495" s="75" t="n">
        <x:v>46288</x:v>
      </x:c>
      <x:c r="C495" s="71" t="str">
        <x:v>Normal</x:v>
      </x:c>
      <x:c r="D495" s="71" t="str">
        <x:v>FG-019</x:v>
      </x:c>
      <x:c r="E495" s="71" t="str">
        <x:v>RM-023</x:v>
      </x:c>
      <x:c r="F495" s="71" t="str">
        <x:v>Filler 023</x:v>
      </x:c>
      <x:c r="G495" s="76" t="n">
        <x:v>50</x:v>
      </x:c>
      <x:c r="H495" s="76" t="n">
        <x:v>34.53</x:v>
      </x:c>
      <x:c r="I495" s="76" t="n">
        <x:f>G495*H495</x:f>
        <x:v>1726.5</x:v>
      </x:c>
      <x:c r="J495" s="76" t="n">
        <x:f>IFERROR(INDEX('Inventory'!$E$2:$E$71,MATCH(E495,'Inventory'!$A$2:$A$71,0)),0)</x:f>
        <x:v>3401</x:v>
      </x:c>
      <x:c r="K495" s="76" t="n">
        <x:f>IFERROR(INDEX('Inventory'!$F$2:$F$71,MATCH(E495,'Inventory'!$A$2:$A$71,0)),0)</x:f>
        <x:v>418</x:v>
      </x:c>
      <x:c r="L495" s="76" t="n">
        <x:f>SUMIFS('Open_POs'!$D$2:$D$26,'Open_POs'!$B$2:$B$26,E495,'Open_POs'!$E$2:$E$26,"&lt;="&amp;B495)</x:f>
        <x:v>0</x:v>
      </x:c>
      <x:c r="M495" s="76" t="n">
        <x:f>J495+L495</x:f>
        <x:v>3401</x:v>
      </x:c>
      <x:c r="N495" s="76" t="n">
        <x:f>SUMIFS($I$2:I495,$E$2:E495,E495)</x:f>
        <x:v>17218.8</x:v>
      </x:c>
      <x:c r="O495" s="76" t="n">
        <x:f>M495-N495</x:f>
        <x:v>-13817.8</x:v>
      </x:c>
      <x:c r="P495" s="71" t="str">
        <x:f>IF(O495&lt;0,"SHORT",IF(O495&lt;K495,"BELOW TARGET","COVERED"))</x:f>
        <x:v>SHORT</x:v>
      </x:c>
      <x:c r="Q495" s="63" t="str">
        <x:f>IF(AND(P495="SHORT",COUNTIFS($E$2:E495,E495,$P$2:P495,"SHORT")=1),B495,"")</x:f>
      </x:c>
    </x:row>
    <x:row r="496" ht="15" customHeight="1">
      <x:c r="A496" s="71" t="str">
        <x:v>SO-26042</x:v>
      </x:c>
      <x:c r="B496" s="75" t="n">
        <x:v>46288</x:v>
      </x:c>
      <x:c r="C496" s="71" t="str">
        <x:v>Normal</x:v>
      </x:c>
      <x:c r="D496" s="71" t="str">
        <x:v>FG-019</x:v>
      </x:c>
      <x:c r="E496" s="71" t="str">
        <x:v>RM-033</x:v>
      </x:c>
      <x:c r="F496" s="71" t="str">
        <x:v>Filler 033</x:v>
      </x:c>
      <x:c r="G496" s="76" t="n">
        <x:v>50</x:v>
      </x:c>
      <x:c r="H496" s="76" t="n">
        <x:v>41.3</x:v>
      </x:c>
      <x:c r="I496" s="76" t="n">
        <x:f>G496*H496</x:f>
        <x:v>2065</x:v>
      </x:c>
      <x:c r="J496" s="76" t="n">
        <x:f>IFERROR(INDEX('Inventory'!$E$2:$E$71,MATCH(E496,'Inventory'!$A$2:$A$71,0)),0)</x:f>
        <x:v>4157</x:v>
      </x:c>
      <x:c r="K496" s="76" t="n">
        <x:f>IFERROR(INDEX('Inventory'!$F$2:$F$71,MATCH(E496,'Inventory'!$A$2:$A$71,0)),0)</x:f>
        <x:v>1030</x:v>
      </x:c>
      <x:c r="L496" s="76" t="n">
        <x:f>SUMIFS('Open_POs'!$D$2:$D$26,'Open_POs'!$B$2:$B$26,E496,'Open_POs'!$E$2:$E$26,"&lt;="&amp;B496)</x:f>
        <x:v>5000</x:v>
      </x:c>
      <x:c r="M496" s="76" t="n">
        <x:f>J496+L496</x:f>
        <x:v>9157</x:v>
      </x:c>
      <x:c r="N496" s="76" t="n">
        <x:f>SUMIFS($I$2:I496,$E$2:E496,E496)</x:f>
        <x:v>17547.4</x:v>
      </x:c>
      <x:c r="O496" s="76" t="n">
        <x:f>M496-N496</x:f>
        <x:v>-8390.400000000001</x:v>
      </x:c>
      <x:c r="P496" s="71" t="str">
        <x:f>IF(O496&lt;0,"SHORT",IF(O496&lt;K496,"BELOW TARGET","COVERED"))</x:f>
        <x:v>SHORT</x:v>
      </x:c>
      <x:c r="Q496" s="63" t="str">
        <x:f>IF(AND(P496="SHORT",COUNTIFS($E$2:E496,E496,$P$2:P496,"SHORT")=1),B496,"")</x:f>
      </x:c>
    </x:row>
    <x:row r="497" ht="15" customHeight="1">
      <x:c r="A497" s="71" t="str">
        <x:v>SO-26042</x:v>
      </x:c>
      <x:c r="B497" s="75" t="n">
        <x:v>46288</x:v>
      </x:c>
      <x:c r="C497" s="71" t="str">
        <x:v>Normal</x:v>
      </x:c>
      <x:c r="D497" s="71" t="str">
        <x:v>FG-019</x:v>
      </x:c>
      <x:c r="E497" s="71" t="str">
        <x:v>RM-038</x:v>
      </x:c>
      <x:c r="F497" s="71" t="str">
        <x:v>Filler 038</x:v>
      </x:c>
      <x:c r="G497" s="76" t="n">
        <x:v>50</x:v>
      </x:c>
      <x:c r="H497" s="76" t="n">
        <x:v>50.34</x:v>
      </x:c>
      <x:c r="I497" s="76" t="n">
        <x:f>G497*H497</x:f>
        <x:v>2517</x:v>
      </x:c>
      <x:c r="J497" s="76" t="n">
        <x:f>IFERROR(INDEX('Inventory'!$E$2:$E$71,MATCH(E497,'Inventory'!$A$2:$A$71,0)),0)</x:f>
        <x:v>10042</x:v>
      </x:c>
      <x:c r="K497" s="76" t="n">
        <x:f>IFERROR(INDEX('Inventory'!$F$2:$F$71,MATCH(E497,'Inventory'!$A$2:$A$71,0)),0)</x:f>
        <x:v>1452</x:v>
      </x:c>
      <x:c r="L497" s="76" t="n">
        <x:f>SUMIFS('Open_POs'!$D$2:$D$26,'Open_POs'!$B$2:$B$26,E497,'Open_POs'!$E$2:$E$26,"&lt;="&amp;B497)</x:f>
        <x:v>10000</x:v>
      </x:c>
      <x:c r="M497" s="76" t="n">
        <x:f>J497+L497</x:f>
        <x:v>20042</x:v>
      </x:c>
      <x:c r="N497" s="76" t="n">
        <x:f>SUMIFS($I$2:I497,$E$2:E497,E497)</x:f>
        <x:v>37424.6</x:v>
      </x:c>
      <x:c r="O497" s="76" t="n">
        <x:f>M497-N497</x:f>
        <x:v>-17382.6</x:v>
      </x:c>
      <x:c r="P497" s="71" t="str">
        <x:f>IF(O497&lt;0,"SHORT",IF(O497&lt;K497,"BELOW TARGET","COVERED"))</x:f>
        <x:v>SHORT</x:v>
      </x:c>
      <x:c r="Q497" s="63" t="str">
        <x:f>IF(AND(P497="SHORT",COUNTIFS($E$2:E497,E497,$P$2:P497,"SHORT")=1),B497,"")</x:f>
      </x:c>
    </x:row>
    <x:row r="498" ht="15" customHeight="1">
      <x:c r="A498" s="71" t="str">
        <x:v>SO-26042</x:v>
      </x:c>
      <x:c r="B498" s="75" t="n">
        <x:v>46288</x:v>
      </x:c>
      <x:c r="C498" s="71" t="str">
        <x:v>Normal</x:v>
      </x:c>
      <x:c r="D498" s="71" t="str">
        <x:v>FG-019</x:v>
      </x:c>
      <x:c r="E498" s="71" t="str">
        <x:v>RM-041</x:v>
      </x:c>
      <x:c r="F498" s="71" t="str">
        <x:v>Resin 041</x:v>
      </x:c>
      <x:c r="G498" s="76" t="n">
        <x:v>50</x:v>
      </x:c>
      <x:c r="H498" s="76" t="n">
        <x:v>9.3</x:v>
      </x:c>
      <x:c r="I498" s="76" t="n">
        <x:f>G498*H498</x:f>
        <x:v>465.00000000000006</x:v>
      </x:c>
      <x:c r="J498" s="76" t="n">
        <x:f>IFERROR(INDEX('Inventory'!$E$2:$E$71,MATCH(E498,'Inventory'!$A$2:$A$71,0)),0)</x:f>
        <x:v>4635</x:v>
      </x:c>
      <x:c r="K498" s="76" t="n">
        <x:f>IFERROR(INDEX('Inventory'!$F$2:$F$71,MATCH(E498,'Inventory'!$A$2:$A$71,0)),0)</x:f>
        <x:v>987</x:v>
      </x:c>
      <x:c r="L498" s="76" t="n">
        <x:f>SUMIFS('Open_POs'!$D$2:$D$26,'Open_POs'!$B$2:$B$26,E498,'Open_POs'!$E$2:$E$26,"&lt;="&amp;B498)</x:f>
        <x:v>0</x:v>
      </x:c>
      <x:c r="M498" s="76" t="n">
        <x:f>J498+L498</x:f>
        <x:v>4635</x:v>
      </x:c>
      <x:c r="N498" s="76" t="n">
        <x:f>SUMIFS($I$2:I498,$E$2:E498,E498)</x:f>
        <x:v>25828.6</x:v>
      </x:c>
      <x:c r="O498" s="76" t="n">
        <x:f>M498-N498</x:f>
        <x:v>-21193.6</x:v>
      </x:c>
      <x:c r="P498" s="71" t="str">
        <x:f>IF(O498&lt;0,"SHORT",IF(O498&lt;K498,"BELOW TARGET","COVERED"))</x:f>
        <x:v>SHORT</x:v>
      </x:c>
      <x:c r="Q498" s="63" t="str">
        <x:f>IF(AND(P498="SHORT",COUNTIFS($E$2:E498,E498,$P$2:P498,"SHORT")=1),B498,"")</x:f>
      </x:c>
    </x:row>
    <x:row r="499" ht="15" customHeight="1">
      <x:c r="A499" s="71" t="str">
        <x:v>SO-26042</x:v>
      </x:c>
      <x:c r="B499" s="75" t="n">
        <x:v>46288</x:v>
      </x:c>
      <x:c r="C499" s="71" t="str">
        <x:v>Normal</x:v>
      </x:c>
      <x:c r="D499" s="71" t="str">
        <x:v>FG-019</x:v>
      </x:c>
      <x:c r="E499" s="71" t="str">
        <x:v>RM-048</x:v>
      </x:c>
      <x:c r="F499" s="71" t="str">
        <x:v>Filler 048</x:v>
      </x:c>
      <x:c r="G499" s="76" t="n">
        <x:v>50</x:v>
      </x:c>
      <x:c r="H499" s="76" t="n">
        <x:v>41.51</x:v>
      </x:c>
      <x:c r="I499" s="76" t="n">
        <x:f>G499*H499</x:f>
        <x:v>2075.5</x:v>
      </x:c>
      <x:c r="J499" s="76" t="n">
        <x:f>IFERROR(INDEX('Inventory'!$E$2:$E$71,MATCH(E499,'Inventory'!$A$2:$A$71,0)),0)</x:f>
        <x:v>637</x:v>
      </x:c>
      <x:c r="K499" s="76" t="n">
        <x:f>IFERROR(INDEX('Inventory'!$F$2:$F$71,MATCH(E499,'Inventory'!$A$2:$A$71,0)),0)</x:f>
        <x:v>888</x:v>
      </x:c>
      <x:c r="L499" s="76" t="n">
        <x:f>SUMIFS('Open_POs'!$D$2:$D$26,'Open_POs'!$B$2:$B$26,E499,'Open_POs'!$E$2:$E$26,"&lt;="&amp;B499)</x:f>
        <x:v>1000</x:v>
      </x:c>
      <x:c r="M499" s="76" t="n">
        <x:f>J499+L499</x:f>
        <x:v>1637</x:v>
      </x:c>
      <x:c r="N499" s="76" t="n">
        <x:f>SUMIFS($I$2:I499,$E$2:E499,E499)</x:f>
        <x:v>17737.1</x:v>
      </x:c>
      <x:c r="O499" s="76" t="n">
        <x:f>M499-N499</x:f>
        <x:v>-16100.099999999999</x:v>
      </x:c>
      <x:c r="P499" s="71" t="str">
        <x:f>IF(O499&lt;0,"SHORT",IF(O499&lt;K499,"BELOW TARGET","COVERED"))</x:f>
        <x:v>SHORT</x:v>
      </x:c>
      <x:c r="Q499" s="63" t="str">
        <x:f>IF(AND(P499="SHORT",COUNTIFS($E$2:E499,E499,$P$2:P499,"SHORT")=1),B499,"")</x:f>
      </x:c>
    </x:row>
    <x:row r="500" ht="15" customHeight="1">
      <x:c r="A500" s="71" t="str">
        <x:v>SO-26042</x:v>
      </x:c>
      <x:c r="B500" s="75" t="n">
        <x:v>46288</x:v>
      </x:c>
      <x:c r="C500" s="71" t="str">
        <x:v>Normal</x:v>
      </x:c>
      <x:c r="D500" s="71" t="str">
        <x:v>FG-019</x:v>
      </x:c>
      <x:c r="E500" s="71" t="str">
        <x:v>RM-062</x:v>
      </x:c>
      <x:c r="F500" s="71" t="str">
        <x:v>Pigment 062</x:v>
      </x:c>
      <x:c r="G500" s="76" t="n">
        <x:v>50</x:v>
      </x:c>
      <x:c r="H500" s="76" t="n">
        <x:v>9</x:v>
      </x:c>
      <x:c r="I500" s="76" t="n">
        <x:f>G500*H500</x:f>
        <x:v>450</x:v>
      </x:c>
      <x:c r="J500" s="76" t="n">
        <x:f>IFERROR(INDEX('Inventory'!$E$2:$E$71,MATCH(E500,'Inventory'!$A$2:$A$71,0)),0)</x:f>
        <x:v>7110</x:v>
      </x:c>
      <x:c r="K500" s="76" t="n">
        <x:f>IFERROR(INDEX('Inventory'!$F$2:$F$71,MATCH(E500,'Inventory'!$A$2:$A$71,0)),0)</x:f>
        <x:v>1339</x:v>
      </x:c>
      <x:c r="L500" s="76" t="n">
        <x:f>SUMIFS('Open_POs'!$D$2:$D$26,'Open_POs'!$B$2:$B$26,E500,'Open_POs'!$E$2:$E$26,"&lt;="&amp;B500)</x:f>
        <x:v>1000</x:v>
      </x:c>
      <x:c r="M500" s="76" t="n">
        <x:f>J500+L500</x:f>
        <x:v>8110</x:v>
      </x:c>
      <x:c r="N500" s="76" t="n">
        <x:f>SUMIFS($I$2:I500,$E$2:E500,E500)</x:f>
        <x:v>6836.7</x:v>
      </x:c>
      <x:c r="O500" s="76" t="n">
        <x:f>M500-N500</x:f>
        <x:v>1273.3000000000002</x:v>
      </x:c>
      <x:c r="P500" s="71" t="str">
        <x:f>IF(O500&lt;0,"SHORT",IF(O500&lt;K500,"BELOW TARGET","COVERED"))</x:f>
        <x:v>BELOW TARGET</x:v>
      </x:c>
      <x:c r="Q500" s="63" t="str">
        <x:f>IF(AND(P500="SHORT",COUNTIFS($E$2:E500,E500,$P$2:P500,"SHORT")=1),B500,"")</x:f>
      </x:c>
    </x:row>
    <x:row r="501" ht="15" customHeight="1">
      <x:c r="A501" s="71" t="str">
        <x:v>SO-26062</x:v>
      </x:c>
      <x:c r="B501" s="75" t="n">
        <x:v>46288</x:v>
      </x:c>
      <x:c r="C501" s="71" t="str">
        <x:v>Normal</x:v>
      </x:c>
      <x:c r="D501" s="71" t="str">
        <x:v>FG-003</x:v>
      </x:c>
      <x:c r="E501" s="71" t="str">
        <x:v>RM-008</x:v>
      </x:c>
      <x:c r="F501" s="71" t="str">
        <x:v>Filler 008</x:v>
      </x:c>
      <x:c r="G501" s="76" t="n">
        <x:v>80</x:v>
      </x:c>
      <x:c r="H501" s="76" t="n">
        <x:v>66.47</x:v>
      </x:c>
      <x:c r="I501" s="76" t="n">
        <x:f>G501*H501</x:f>
        <x:v>5317.6</x:v>
      </x:c>
      <x:c r="J501" s="76" t="n">
        <x:f>IFERROR(INDEX('Inventory'!$E$2:$E$71,MATCH(E501,'Inventory'!$A$2:$A$71,0)),0)</x:f>
        <x:v>430</x:v>
      </x:c>
      <x:c r="K501" s="76" t="n">
        <x:f>IFERROR(INDEX('Inventory'!$F$2:$F$71,MATCH(E501,'Inventory'!$A$2:$A$71,0)),0)</x:f>
        <x:v>1037</x:v>
      </x:c>
      <x:c r="L501" s="76" t="n">
        <x:f>SUMIFS('Open_POs'!$D$2:$D$26,'Open_POs'!$B$2:$B$26,E501,'Open_POs'!$E$2:$E$26,"&lt;="&amp;B501)</x:f>
        <x:v>0</x:v>
      </x:c>
      <x:c r="M501" s="76" t="n">
        <x:f>J501+L501</x:f>
        <x:v>430</x:v>
      </x:c>
      <x:c r="N501" s="76" t="n">
        <x:f>SUMIFS($I$2:I501,$E$2:E501,E501)</x:f>
        <x:v>37463.1</x:v>
      </x:c>
      <x:c r="O501" s="76" t="n">
        <x:f>M501-N501</x:f>
        <x:v>-37033.1</x:v>
      </x:c>
      <x:c r="P501" s="71" t="str">
        <x:f>IF(O501&lt;0,"SHORT",IF(O501&lt;K501,"BELOW TARGET","COVERED"))</x:f>
        <x:v>SHORT</x:v>
      </x:c>
      <x:c r="Q501" s="63" t="str">
        <x:f>IF(AND(P501="SHORT",COUNTIFS($E$2:E501,E501,$P$2:P501,"SHORT")=1),B501,"")</x:f>
      </x:c>
    </x:row>
    <x:row r="502" ht="15" customHeight="1">
      <x:c r="A502" s="71" t="str">
        <x:v>SO-26062</x:v>
      </x:c>
      <x:c r="B502" s="75" t="n">
        <x:v>46288</x:v>
      </x:c>
      <x:c r="C502" s="71" t="str">
        <x:v>Normal</x:v>
      </x:c>
      <x:c r="D502" s="71" t="str">
        <x:v>FG-003</x:v>
      </x:c>
      <x:c r="E502" s="71" t="str">
        <x:v>RM-009</x:v>
      </x:c>
      <x:c r="F502" s="71" t="str">
        <x:v>Additive 009</x:v>
      </x:c>
      <x:c r="G502" s="76" t="n">
        <x:v>80</x:v>
      </x:c>
      <x:c r="H502" s="76" t="n">
        <x:v>23.43</x:v>
      </x:c>
      <x:c r="I502" s="76" t="n">
        <x:f>G502*H502</x:f>
        <x:v>1874.4</x:v>
      </x:c>
      <x:c r="J502" s="76" t="n">
        <x:f>IFERROR(INDEX('Inventory'!$E$2:$E$71,MATCH(E502,'Inventory'!$A$2:$A$71,0)),0)</x:f>
        <x:v>13813</x:v>
      </x:c>
      <x:c r="K502" s="76" t="n">
        <x:f>IFERROR(INDEX('Inventory'!$F$2:$F$71,MATCH(E502,'Inventory'!$A$2:$A$71,0)),0)</x:f>
        <x:v>1377</x:v>
      </x:c>
      <x:c r="L502" s="76" t="n">
        <x:f>SUMIFS('Open_POs'!$D$2:$D$26,'Open_POs'!$B$2:$B$26,E502,'Open_POs'!$E$2:$E$26,"&lt;="&amp;B502)</x:f>
        <x:v>0</x:v>
      </x:c>
      <x:c r="M502" s="76" t="n">
        <x:f>J502+L502</x:f>
        <x:v>13813</x:v>
      </x:c>
      <x:c r="N502" s="76" t="n">
        <x:f>SUMIFS($I$2:I502,$E$2:E502,E502)</x:f>
        <x:v>51297.100000000006</x:v>
      </x:c>
      <x:c r="O502" s="76" t="n">
        <x:f>M502-N502</x:f>
        <x:v>-37484.100000000006</x:v>
      </x:c>
      <x:c r="P502" s="71" t="str">
        <x:f>IF(O502&lt;0,"SHORT",IF(O502&lt;K502,"BELOW TARGET","COVERED"))</x:f>
        <x:v>SHORT</x:v>
      </x:c>
      <x:c r="Q502" s="63" t="str">
        <x:f>IF(AND(P502="SHORT",COUNTIFS($E$2:E502,E502,$P$2:P502,"SHORT")=1),B502,"")</x:f>
      </x:c>
    </x:row>
    <x:row r="503" ht="15" customHeight="1">
      <x:c r="A503" s="71" t="str">
        <x:v>SO-26062</x:v>
      </x:c>
      <x:c r="B503" s="75" t="n">
        <x:v>46288</x:v>
      </x:c>
      <x:c r="C503" s="71" t="str">
        <x:v>Normal</x:v>
      </x:c>
      <x:c r="D503" s="71" t="str">
        <x:v>FG-003</x:v>
      </x:c>
      <x:c r="E503" s="71" t="str">
        <x:v>RM-010</x:v>
      </x:c>
      <x:c r="F503" s="71" t="str">
        <x:v>Packaging 010</x:v>
      </x:c>
      <x:c r="G503" s="76" t="n">
        <x:v>80</x:v>
      </x:c>
      <x:c r="H503" s="76" t="n">
        <x:v>62.89</x:v>
      </x:c>
      <x:c r="I503" s="76" t="n">
        <x:f>G503*H503</x:f>
        <x:v>5031.2</x:v>
      </x:c>
      <x:c r="J503" s="76" t="n">
        <x:f>IFERROR(INDEX('Inventory'!$E$2:$E$71,MATCH(E503,'Inventory'!$A$2:$A$71,0)),0)</x:f>
        <x:v>14191</x:v>
      </x:c>
      <x:c r="K503" s="76" t="n">
        <x:f>IFERROR(INDEX('Inventory'!$F$2:$F$71,MATCH(E503,'Inventory'!$A$2:$A$71,0)),0)</x:f>
        <x:v>615</x:v>
      </x:c>
      <x:c r="L503" s="76" t="n">
        <x:f>SUMIFS('Open_POs'!$D$2:$D$26,'Open_POs'!$B$2:$B$26,E503,'Open_POs'!$E$2:$E$26,"&lt;="&amp;B503)</x:f>
        <x:v>0</x:v>
      </x:c>
      <x:c r="M503" s="76" t="n">
        <x:f>J503+L503</x:f>
        <x:v>14191</x:v>
      </x:c>
      <x:c r="N503" s="76" t="n">
        <x:f>SUMIFS($I$2:I503,$E$2:E503,E503)</x:f>
        <x:v>67261.1</x:v>
      </x:c>
      <x:c r="O503" s="76" t="n">
        <x:f>M503-N503</x:f>
        <x:v>-53070.100000000006</x:v>
      </x:c>
      <x:c r="P503" s="71" t="str">
        <x:f>IF(O503&lt;0,"SHORT",IF(O503&lt;K503,"BELOW TARGET","COVERED"))</x:f>
        <x:v>SHORT</x:v>
      </x:c>
      <x:c r="Q503" s="63" t="str">
        <x:f>IF(AND(P503="SHORT",COUNTIFS($E$2:E503,E503,$P$2:P503,"SHORT")=1),B503,"")</x:f>
      </x:c>
    </x:row>
    <x:row r="504" ht="15" customHeight="1">
      <x:c r="A504" s="71" t="str">
        <x:v>SO-26062</x:v>
      </x:c>
      <x:c r="B504" s="75" t="n">
        <x:v>46288</x:v>
      </x:c>
      <x:c r="C504" s="71" t="str">
        <x:v>Normal</x:v>
      </x:c>
      <x:c r="D504" s="71" t="str">
        <x:v>FG-003</x:v>
      </x:c>
      <x:c r="E504" s="71" t="str">
        <x:v>RM-011</x:v>
      </x:c>
      <x:c r="F504" s="71" t="str">
        <x:v>Resin 011</x:v>
      </x:c>
      <x:c r="G504" s="76" t="n">
        <x:v>80</x:v>
      </x:c>
      <x:c r="H504" s="76" t="n">
        <x:v>35.21</x:v>
      </x:c>
      <x:c r="I504" s="76" t="n">
        <x:f>G504*H504</x:f>
        <x:v>2816.8</x:v>
      </x:c>
      <x:c r="J504" s="76" t="n">
        <x:f>IFERROR(INDEX('Inventory'!$E$2:$E$71,MATCH(E504,'Inventory'!$A$2:$A$71,0)),0)</x:f>
        <x:v>16410</x:v>
      </x:c>
      <x:c r="K504" s="76" t="n">
        <x:f>IFERROR(INDEX('Inventory'!$F$2:$F$71,MATCH(E504,'Inventory'!$A$2:$A$71,0)),0)</x:f>
        <x:v>1275</x:v>
      </x:c>
      <x:c r="L504" s="76" t="n">
        <x:f>SUMIFS('Open_POs'!$D$2:$D$26,'Open_POs'!$B$2:$B$26,E504,'Open_POs'!$E$2:$E$26,"&lt;="&amp;B504)</x:f>
        <x:v>0</x:v>
      </x:c>
      <x:c r="M504" s="76" t="n">
        <x:f>J504+L504</x:f>
        <x:v>16410</x:v>
      </x:c>
      <x:c r="N504" s="76" t="n">
        <x:f>SUMIFS($I$2:I504,$E$2:E504,E504)</x:f>
        <x:v>28786.6</x:v>
      </x:c>
      <x:c r="O504" s="76" t="n">
        <x:f>M504-N504</x:f>
        <x:v>-12376.599999999999</x:v>
      </x:c>
      <x:c r="P504" s="71" t="str">
        <x:f>IF(O504&lt;0,"SHORT",IF(O504&lt;K504,"BELOW TARGET","COVERED"))</x:f>
        <x:v>SHORT</x:v>
      </x:c>
      <x:c r="Q504" s="63" t="str">
        <x:f>IF(AND(P504="SHORT",COUNTIFS($E$2:E504,E504,$P$2:P504,"SHORT")=1),B504,"")</x:f>
      </x:c>
    </x:row>
    <x:row r="505" ht="15" customHeight="1">
      <x:c r="A505" s="71" t="str">
        <x:v>SO-26062</x:v>
      </x:c>
      <x:c r="B505" s="75" t="n">
        <x:v>46288</x:v>
      </x:c>
      <x:c r="C505" s="71" t="str">
        <x:v>Normal</x:v>
      </x:c>
      <x:c r="D505" s="71" t="str">
        <x:v>FG-003</x:v>
      </x:c>
      <x:c r="E505" s="71" t="str">
        <x:v>RM-022</x:v>
      </x:c>
      <x:c r="F505" s="71" t="str">
        <x:v>Pigment 022</x:v>
      </x:c>
      <x:c r="G505" s="76" t="n">
        <x:v>80</x:v>
      </x:c>
      <x:c r="H505" s="76" t="n">
        <x:v>56.17</x:v>
      </x:c>
      <x:c r="I505" s="76" t="n">
        <x:f>G505*H505</x:f>
        <x:v>4493.6</x:v>
      </x:c>
      <x:c r="J505" s="76" t="n">
        <x:f>IFERROR(INDEX('Inventory'!$E$2:$E$71,MATCH(E505,'Inventory'!$A$2:$A$71,0)),0)</x:f>
        <x:v>12228</x:v>
      </x:c>
      <x:c r="K505" s="76" t="n">
        <x:f>IFERROR(INDEX('Inventory'!$F$2:$F$71,MATCH(E505,'Inventory'!$A$2:$A$71,0)),0)</x:f>
        <x:v>411</x:v>
      </x:c>
      <x:c r="L505" s="76" t="n">
        <x:f>SUMIFS('Open_POs'!$D$2:$D$26,'Open_POs'!$B$2:$B$26,E505,'Open_POs'!$E$2:$E$26,"&lt;="&amp;B505)</x:f>
        <x:v>0</x:v>
      </x:c>
      <x:c r="M505" s="76" t="n">
        <x:f>J505+L505</x:f>
        <x:v>12228</x:v>
      </x:c>
      <x:c r="N505" s="76" t="n">
        <x:f>SUMIFS($I$2:I505,$E$2:E505,E505)</x:f>
        <x:v>8987.2</x:v>
      </x:c>
      <x:c r="O505" s="76" t="n">
        <x:f>M505-N505</x:f>
        <x:v>3240.7999999999993</x:v>
      </x:c>
      <x:c r="P505" s="71" t="str">
        <x:f>IF(O505&lt;0,"SHORT",IF(O505&lt;K505,"BELOW TARGET","COVERED"))</x:f>
        <x:v>COVERED</x:v>
      </x:c>
      <x:c r="Q505" s="63" t="str">
        <x:f>IF(AND(P505="SHORT",COUNTIFS($E$2:E505,E505,$P$2:P505,"SHORT")=1),B505,"")</x:f>
      </x:c>
    </x:row>
    <x:row r="506" ht="15" customHeight="1">
      <x:c r="A506" s="71" t="str">
        <x:v>SO-26062</x:v>
      </x:c>
      <x:c r="B506" s="75" t="n">
        <x:v>46288</x:v>
      </x:c>
      <x:c r="C506" s="71" t="str">
        <x:v>Normal</x:v>
      </x:c>
      <x:c r="D506" s="71" t="str">
        <x:v>FG-003</x:v>
      </x:c>
      <x:c r="E506" s="71" t="str">
        <x:v>RM-025</x:v>
      </x:c>
      <x:c r="F506" s="71" t="str">
        <x:v>Packaging 025</x:v>
      </x:c>
      <x:c r="G506" s="76" t="n">
        <x:v>80</x:v>
      </x:c>
      <x:c r="H506" s="76" t="n">
        <x:v>72.69</x:v>
      </x:c>
      <x:c r="I506" s="76" t="n">
        <x:f>G506*H506</x:f>
        <x:v>5815.2</x:v>
      </x:c>
      <x:c r="J506" s="76" t="n">
        <x:f>IFERROR(INDEX('Inventory'!$E$2:$E$71,MATCH(E506,'Inventory'!$A$2:$A$71,0)),0)</x:f>
        <x:v>2469</x:v>
      </x:c>
      <x:c r="K506" s="76" t="n">
        <x:f>IFERROR(INDEX('Inventory'!$F$2:$F$71,MATCH(E506,'Inventory'!$A$2:$A$71,0)),0)</x:f>
        <x:v>229</x:v>
      </x:c>
      <x:c r="L506" s="76" t="n">
        <x:f>SUMIFS('Open_POs'!$D$2:$D$26,'Open_POs'!$B$2:$B$26,E506,'Open_POs'!$E$2:$E$26,"&lt;="&amp;B506)</x:f>
        <x:v>10000</x:v>
      </x:c>
      <x:c r="M506" s="76" t="n">
        <x:f>J506+L506</x:f>
        <x:v>12469</x:v>
      </x:c>
      <x:c r="N506" s="76" t="n">
        <x:f>SUMIFS($I$2:I506,$E$2:E506,E506)</x:f>
        <x:v>45093.79999999999</x:v>
      </x:c>
      <x:c r="O506" s="76" t="n">
        <x:f>M506-N506</x:f>
        <x:v>-32624.79999999999</x:v>
      </x:c>
      <x:c r="P506" s="71" t="str">
        <x:f>IF(O506&lt;0,"SHORT",IF(O506&lt;K506,"BELOW TARGET","COVERED"))</x:f>
        <x:v>SHORT</x:v>
      </x:c>
      <x:c r="Q506" s="63" t="str">
        <x:f>IF(AND(P506="SHORT",COUNTIFS($E$2:E506,E506,$P$2:P506,"SHORT")=1),B506,"")</x:f>
      </x:c>
    </x:row>
    <x:row r="507" ht="15" customHeight="1">
      <x:c r="A507" s="71" t="str">
        <x:v>SO-26062</x:v>
      </x:c>
      <x:c r="B507" s="75" t="n">
        <x:v>46288</x:v>
      </x:c>
      <x:c r="C507" s="71" t="str">
        <x:v>Normal</x:v>
      </x:c>
      <x:c r="D507" s="71" t="str">
        <x:v>FG-003</x:v>
      </x:c>
      <x:c r="E507" s="71" t="str">
        <x:v>RM-047</x:v>
      </x:c>
      <x:c r="F507" s="71" t="str">
        <x:v>Pigment 047</x:v>
      </x:c>
      <x:c r="G507" s="76" t="n">
        <x:v>80</x:v>
      </x:c>
      <x:c r="H507" s="76" t="n">
        <x:v>37.94</x:v>
      </x:c>
      <x:c r="I507" s="76" t="n">
        <x:f>G507*H507</x:f>
        <x:v>3035.2</x:v>
      </x:c>
      <x:c r="J507" s="76" t="n">
        <x:f>IFERROR(INDEX('Inventory'!$E$2:$E$71,MATCH(E507,'Inventory'!$A$2:$A$71,0)),0)</x:f>
        <x:v>4384</x:v>
      </x:c>
      <x:c r="K507" s="76" t="n">
        <x:f>IFERROR(INDEX('Inventory'!$F$2:$F$71,MATCH(E507,'Inventory'!$A$2:$A$71,0)),0)</x:f>
        <x:v>1229</x:v>
      </x:c>
      <x:c r="L507" s="76" t="n">
        <x:f>SUMIFS('Open_POs'!$D$2:$D$26,'Open_POs'!$B$2:$B$26,E507,'Open_POs'!$E$2:$E$26,"&lt;="&amp;B507)</x:f>
        <x:v>0</x:v>
      </x:c>
      <x:c r="M507" s="76" t="n">
        <x:f>J507+L507</x:f>
        <x:v>4384</x:v>
      </x:c>
      <x:c r="N507" s="76" t="n">
        <x:f>SUMIFS($I$2:I507,$E$2:E507,E507)</x:f>
        <x:v>6070.4</x:v>
      </x:c>
      <x:c r="O507" s="76" t="n">
        <x:f>M507-N507</x:f>
        <x:v>-1686.3999999999996</x:v>
      </x:c>
      <x:c r="P507" s="71" t="str">
        <x:f>IF(O507&lt;0,"SHORT",IF(O507&lt;K507,"BELOW TARGET","COVERED"))</x:f>
        <x:v>SHORT</x:v>
      </x:c>
      <x:c r="Q507" s="63" t="n">
        <x:f>IF(AND(P507="SHORT",COUNTIFS($E$2:E507,E507,$P$2:P507,"SHORT")=1),B507,"")</x:f>
        <x:v>46288</x:v>
      </x:c>
    </x:row>
    <x:row r="508" ht="15" customHeight="1">
      <x:c r="A508" s="71" t="str">
        <x:v>SO-26062</x:v>
      </x:c>
      <x:c r="B508" s="75" t="n">
        <x:v>46288</x:v>
      </x:c>
      <x:c r="C508" s="71" t="str">
        <x:v>Normal</x:v>
      </x:c>
      <x:c r="D508" s="71" t="str">
        <x:v>FG-003</x:v>
      </x:c>
      <x:c r="E508" s="71" t="str">
        <x:v>RM-066</x:v>
      </x:c>
      <x:c r="F508" s="71" t="str">
        <x:v>Resin 066</x:v>
      </x:c>
      <x:c r="G508" s="76" t="n">
        <x:v>80</x:v>
      </x:c>
      <x:c r="H508" s="76" t="n">
        <x:v>36.29</x:v>
      </x:c>
      <x:c r="I508" s="76" t="n">
        <x:f>G508*H508</x:f>
        <x:v>2903.2</x:v>
      </x:c>
      <x:c r="J508" s="76" t="n">
        <x:f>IFERROR(INDEX('Inventory'!$E$2:$E$71,MATCH(E508,'Inventory'!$A$2:$A$71,0)),0)</x:f>
        <x:v>10876</x:v>
      </x:c>
      <x:c r="K508" s="76" t="n">
        <x:f>IFERROR(INDEX('Inventory'!$F$2:$F$71,MATCH(E508,'Inventory'!$A$2:$A$71,0)),0)</x:f>
        <x:v>567</x:v>
      </x:c>
      <x:c r="L508" s="76" t="n">
        <x:f>SUMIFS('Open_POs'!$D$2:$D$26,'Open_POs'!$B$2:$B$26,E508,'Open_POs'!$E$2:$E$26,"&lt;="&amp;B508)</x:f>
        <x:v>0</x:v>
      </x:c>
      <x:c r="M508" s="76" t="n">
        <x:f>J508+L508</x:f>
        <x:v>10876</x:v>
      </x:c>
      <x:c r="N508" s="76" t="n">
        <x:f>SUMIFS($I$2:I508,$E$2:E508,E508)</x:f>
        <x:v>15068</x:v>
      </x:c>
      <x:c r="O508" s="76" t="n">
        <x:f>M508-N508</x:f>
        <x:v>-4192</x:v>
      </x:c>
      <x:c r="P508" s="71" t="str">
        <x:f>IF(O508&lt;0,"SHORT",IF(O508&lt;K508,"BELOW TARGET","COVERED"))</x:f>
        <x:v>SHORT</x:v>
      </x:c>
      <x:c r="Q508" s="63" t="str">
        <x:f>IF(AND(P508="SHORT",COUNTIFS($E$2:E508,E508,$P$2:P508,"SHORT")=1),B508,"")</x:f>
      </x:c>
    </x:row>
    <x:row r="509" ht="15" customHeight="1">
      <x:c r="A509" s="71" t="str">
        <x:v>SO-26032</x:v>
      </x:c>
      <x:c r="B509" s="75" t="n">
        <x:v>46289</x:v>
      </x:c>
      <x:c r="C509" s="71" t="str">
        <x:v>High</x:v>
      </x:c>
      <x:c r="D509" s="71" t="str">
        <x:v>FG-007</x:v>
      </x:c>
      <x:c r="E509" s="71" t="str">
        <x:v>RM-006</x:v>
      </x:c>
      <x:c r="F509" s="71" t="str">
        <x:v>Resin 006</x:v>
      </x:c>
      <x:c r="G509" s="76" t="n">
        <x:v>20</x:v>
      </x:c>
      <x:c r="H509" s="76" t="n">
        <x:v>63.64</x:v>
      </x:c>
      <x:c r="I509" s="76" t="n">
        <x:f>G509*H509</x:f>
        <x:v>1272.8</x:v>
      </x:c>
      <x:c r="J509" s="76" t="n">
        <x:f>IFERROR(INDEX('Inventory'!$E$2:$E$71,MATCH(E509,'Inventory'!$A$2:$A$71,0)),0)</x:f>
        <x:v>1295</x:v>
      </x:c>
      <x:c r="K509" s="76" t="n">
        <x:f>IFERROR(INDEX('Inventory'!$F$2:$F$71,MATCH(E509,'Inventory'!$A$2:$A$71,0)),0)</x:f>
        <x:v>599</x:v>
      </x:c>
      <x:c r="L509" s="76" t="n">
        <x:f>SUMIFS('Open_POs'!$D$2:$D$26,'Open_POs'!$B$2:$B$26,E509,'Open_POs'!$E$2:$E$26,"&lt;="&amp;B509)</x:f>
        <x:v>0</x:v>
      </x:c>
      <x:c r="M509" s="76" t="n">
        <x:f>J509+L509</x:f>
        <x:v>1295</x:v>
      </x:c>
      <x:c r="N509" s="76" t="n">
        <x:f>SUMIFS($I$2:I509,$E$2:E509,E509)</x:f>
        <x:v>13515.4</x:v>
      </x:c>
      <x:c r="O509" s="76" t="n">
        <x:f>M509-N509</x:f>
        <x:v>-12220.4</x:v>
      </x:c>
      <x:c r="P509" s="71" t="str">
        <x:f>IF(O509&lt;0,"SHORT",IF(O509&lt;K509,"BELOW TARGET","COVERED"))</x:f>
        <x:v>SHORT</x:v>
      </x:c>
      <x:c r="Q509" s="63" t="str">
        <x:f>IF(AND(P509="SHORT",COUNTIFS($E$2:E509,E509,$P$2:P509,"SHORT")=1),B509,"")</x:f>
      </x:c>
    </x:row>
    <x:row r="510" ht="15" customHeight="1">
      <x:c r="A510" s="71" t="str">
        <x:v>SO-26032</x:v>
      </x:c>
      <x:c r="B510" s="75" t="n">
        <x:v>46289</x:v>
      </x:c>
      <x:c r="C510" s="71" t="str">
        <x:v>High</x:v>
      </x:c>
      <x:c r="D510" s="71" t="str">
        <x:v>FG-007</x:v>
      </x:c>
      <x:c r="E510" s="71" t="str">
        <x:v>RM-007</x:v>
      </x:c>
      <x:c r="F510" s="71" t="str">
        <x:v>Pigment 007</x:v>
      </x:c>
      <x:c r="G510" s="76" t="n">
        <x:v>20</x:v>
      </x:c>
      <x:c r="H510" s="76" t="n">
        <x:v>37.48</x:v>
      </x:c>
      <x:c r="I510" s="76" t="n">
        <x:f>G510*H510</x:f>
        <x:v>749.5999999999999</x:v>
      </x:c>
      <x:c r="J510" s="76" t="n">
        <x:f>IFERROR(INDEX('Inventory'!$E$2:$E$71,MATCH(E510,'Inventory'!$A$2:$A$71,0)),0)</x:f>
        <x:v>9115</x:v>
      </x:c>
      <x:c r="K510" s="76" t="n">
        <x:f>IFERROR(INDEX('Inventory'!$F$2:$F$71,MATCH(E510,'Inventory'!$A$2:$A$71,0)),0)</x:f>
        <x:v>230</x:v>
      </x:c>
      <x:c r="L510" s="76" t="n">
        <x:f>SUMIFS('Open_POs'!$D$2:$D$26,'Open_POs'!$B$2:$B$26,E510,'Open_POs'!$E$2:$E$26,"&lt;="&amp;B510)</x:f>
        <x:v>2500</x:v>
      </x:c>
      <x:c r="M510" s="76" t="n">
        <x:f>J510+L510</x:f>
        <x:v>11615</x:v>
      </x:c>
      <x:c r="N510" s="76" t="n">
        <x:f>SUMIFS($I$2:I510,$E$2:E510,E510)</x:f>
        <x:v>27739.199999999997</x:v>
      </x:c>
      <x:c r="O510" s="76" t="n">
        <x:f>M510-N510</x:f>
        <x:v>-16124.199999999997</x:v>
      </x:c>
      <x:c r="P510" s="71" t="str">
        <x:f>IF(O510&lt;0,"SHORT",IF(O510&lt;K510,"BELOW TARGET","COVERED"))</x:f>
        <x:v>SHORT</x:v>
      </x:c>
      <x:c r="Q510" s="63" t="str">
        <x:f>IF(AND(P510="SHORT",COUNTIFS($E$2:E510,E510,$P$2:P510,"SHORT")=1),B510,"")</x:f>
      </x:c>
    </x:row>
    <x:row r="511" ht="15" customHeight="1">
      <x:c r="A511" s="71" t="str">
        <x:v>SO-26032</x:v>
      </x:c>
      <x:c r="B511" s="75" t="n">
        <x:v>46289</x:v>
      </x:c>
      <x:c r="C511" s="71" t="str">
        <x:v>High</x:v>
      </x:c>
      <x:c r="D511" s="71" t="str">
        <x:v>FG-007</x:v>
      </x:c>
      <x:c r="E511" s="71" t="str">
        <x:v>RM-037</x:v>
      </x:c>
      <x:c r="F511" s="71" t="str">
        <x:v>Pigment 037</x:v>
      </x:c>
      <x:c r="G511" s="76" t="n">
        <x:v>20</x:v>
      </x:c>
      <x:c r="H511" s="76" t="n">
        <x:v>67.58</x:v>
      </x:c>
      <x:c r="I511" s="76" t="n">
        <x:f>G511*H511</x:f>
        <x:v>1351.6</x:v>
      </x:c>
      <x:c r="J511" s="76" t="n">
        <x:f>IFERROR(INDEX('Inventory'!$E$2:$E$71,MATCH(E511,'Inventory'!$A$2:$A$71,0)),0)</x:f>
        <x:v>14210</x:v>
      </x:c>
      <x:c r="K511" s="76" t="n">
        <x:f>IFERROR(INDEX('Inventory'!$F$2:$F$71,MATCH(E511,'Inventory'!$A$2:$A$71,0)),0)</x:f>
        <x:v>850</x:v>
      </x:c>
      <x:c r="L511" s="76" t="n">
        <x:f>SUMIFS('Open_POs'!$D$2:$D$26,'Open_POs'!$B$2:$B$26,E511,'Open_POs'!$E$2:$E$26,"&lt;="&amp;B511)</x:f>
        <x:v>2500</x:v>
      </x:c>
      <x:c r="M511" s="76" t="n">
        <x:f>J511+L511</x:f>
        <x:v>16710</x:v>
      </x:c>
      <x:c r="N511" s="76" t="n">
        <x:f>SUMIFS($I$2:I511,$E$2:E511,E511)</x:f>
        <x:v>28689.799999999996</x:v>
      </x:c>
      <x:c r="O511" s="76" t="n">
        <x:f>M511-N511</x:f>
        <x:v>-11979.799999999996</x:v>
      </x:c>
      <x:c r="P511" s="71" t="str">
        <x:f>IF(O511&lt;0,"SHORT",IF(O511&lt;K511,"BELOW TARGET","COVERED"))</x:f>
        <x:v>SHORT</x:v>
      </x:c>
      <x:c r="Q511" s="63" t="str">
        <x:f>IF(AND(P511="SHORT",COUNTIFS($E$2:E511,E511,$P$2:P511,"SHORT")=1),B511,"")</x:f>
      </x:c>
    </x:row>
    <x:row r="512" ht="15" customHeight="1">
      <x:c r="A512" s="71" t="str">
        <x:v>SO-26032</x:v>
      </x:c>
      <x:c r="B512" s="75" t="n">
        <x:v>46289</x:v>
      </x:c>
      <x:c r="C512" s="71" t="str">
        <x:v>High</x:v>
      </x:c>
      <x:c r="D512" s="71" t="str">
        <x:v>FG-007</x:v>
      </x:c>
      <x:c r="E512" s="71" t="str">
        <x:v>RM-041</x:v>
      </x:c>
      <x:c r="F512" s="71" t="str">
        <x:v>Resin 041</x:v>
      </x:c>
      <x:c r="G512" s="76" t="n">
        <x:v>20</x:v>
      </x:c>
      <x:c r="H512" s="76" t="n">
        <x:v>41.77</x:v>
      </x:c>
      <x:c r="I512" s="76" t="n">
        <x:f>G512*H512</x:f>
        <x:v>835.4000000000001</x:v>
      </x:c>
      <x:c r="J512" s="76" t="n">
        <x:f>IFERROR(INDEX('Inventory'!$E$2:$E$71,MATCH(E512,'Inventory'!$A$2:$A$71,0)),0)</x:f>
        <x:v>4635</x:v>
      </x:c>
      <x:c r="K512" s="76" t="n">
        <x:f>IFERROR(INDEX('Inventory'!$F$2:$F$71,MATCH(E512,'Inventory'!$A$2:$A$71,0)),0)</x:f>
        <x:v>987</x:v>
      </x:c>
      <x:c r="L512" s="76" t="n">
        <x:f>SUMIFS('Open_POs'!$D$2:$D$26,'Open_POs'!$B$2:$B$26,E512,'Open_POs'!$E$2:$E$26,"&lt;="&amp;B512)</x:f>
        <x:v>0</x:v>
      </x:c>
      <x:c r="M512" s="76" t="n">
        <x:f>J512+L512</x:f>
        <x:v>4635</x:v>
      </x:c>
      <x:c r="N512" s="76" t="n">
        <x:f>SUMIFS($I$2:I512,$E$2:E512,E512)</x:f>
        <x:v>26664</x:v>
      </x:c>
      <x:c r="O512" s="76" t="n">
        <x:f>M512-N512</x:f>
        <x:v>-22029</x:v>
      </x:c>
      <x:c r="P512" s="71" t="str">
        <x:f>IF(O512&lt;0,"SHORT",IF(O512&lt;K512,"BELOW TARGET","COVERED"))</x:f>
        <x:v>SHORT</x:v>
      </x:c>
      <x:c r="Q512" s="63" t="str">
        <x:f>IF(AND(P512="SHORT",COUNTIFS($E$2:E512,E512,$P$2:P512,"SHORT")=1),B512,"")</x:f>
      </x:c>
    </x:row>
    <x:row r="513" ht="15" customHeight="1">
      <x:c r="A513" s="71" t="str">
        <x:v>SO-26032</x:v>
      </x:c>
      <x:c r="B513" s="75" t="n">
        <x:v>46289</x:v>
      </x:c>
      <x:c r="C513" s="71" t="str">
        <x:v>High</x:v>
      </x:c>
      <x:c r="D513" s="71" t="str">
        <x:v>FG-007</x:v>
      </x:c>
      <x:c r="E513" s="71" t="str">
        <x:v>RM-050</x:v>
      </x:c>
      <x:c r="F513" s="71" t="str">
        <x:v>Packaging 050</x:v>
      </x:c>
      <x:c r="G513" s="76" t="n">
        <x:v>20</x:v>
      </x:c>
      <x:c r="H513" s="76" t="n">
        <x:v>79.38</x:v>
      </x:c>
      <x:c r="I513" s="76" t="n">
        <x:f>G513*H513</x:f>
        <x:v>1587.6</x:v>
      </x:c>
      <x:c r="J513" s="76" t="n">
        <x:f>IFERROR(INDEX('Inventory'!$E$2:$E$71,MATCH(E513,'Inventory'!$A$2:$A$71,0)),0)</x:f>
        <x:v>5370</x:v>
      </x:c>
      <x:c r="K513" s="76" t="n">
        <x:f>IFERROR(INDEX('Inventory'!$F$2:$F$71,MATCH(E513,'Inventory'!$A$2:$A$71,0)),0)</x:f>
        <x:v>1210</x:v>
      </x:c>
      <x:c r="L513" s="76" t="n">
        <x:f>SUMIFS('Open_POs'!$D$2:$D$26,'Open_POs'!$B$2:$B$26,E513,'Open_POs'!$E$2:$E$26,"&lt;="&amp;B513)</x:f>
        <x:v>2500</x:v>
      </x:c>
      <x:c r="M513" s="76" t="n">
        <x:f>J513+L513</x:f>
        <x:v>7870</x:v>
      </x:c>
      <x:c r="N513" s="76" t="n">
        <x:f>SUMIFS($I$2:I513,$E$2:E513,E513)</x:f>
        <x:v>22448.699999999997</x:v>
      </x:c>
      <x:c r="O513" s="76" t="n">
        <x:f>M513-N513</x:f>
        <x:v>-14578.699999999997</x:v>
      </x:c>
      <x:c r="P513" s="71" t="str">
        <x:f>IF(O513&lt;0,"SHORT",IF(O513&lt;K513,"BELOW TARGET","COVERED"))</x:f>
        <x:v>SHORT</x:v>
      </x:c>
      <x:c r="Q513" s="63" t="str">
        <x:f>IF(AND(P513="SHORT",COUNTIFS($E$2:E513,E513,$P$2:P513,"SHORT")=1),B513,"")</x:f>
      </x:c>
    </x:row>
    <x:row r="514" ht="15" customHeight="1">
      <x:c r="A514" s="71" t="str">
        <x:v>SO-26032</x:v>
      </x:c>
      <x:c r="B514" s="75" t="n">
        <x:v>46289</x:v>
      </x:c>
      <x:c r="C514" s="71" t="str">
        <x:v>High</x:v>
      </x:c>
      <x:c r="D514" s="71" t="str">
        <x:v>FG-007</x:v>
      </x:c>
      <x:c r="E514" s="71" t="str">
        <x:v>RM-052</x:v>
      </x:c>
      <x:c r="F514" s="71" t="str">
        <x:v>Pigment 052</x:v>
      </x:c>
      <x:c r="G514" s="76" t="n">
        <x:v>20</x:v>
      </x:c>
      <x:c r="H514" s="76" t="n">
        <x:v>30.43</x:v>
      </x:c>
      <x:c r="I514" s="76" t="n">
        <x:f>G514*H514</x:f>
        <x:v>608.6</x:v>
      </x:c>
      <x:c r="J514" s="76" t="n">
        <x:f>IFERROR(INDEX('Inventory'!$E$2:$E$71,MATCH(E514,'Inventory'!$A$2:$A$71,0)),0)</x:f>
        <x:v>6374</x:v>
      </x:c>
      <x:c r="K514" s="76" t="n">
        <x:f>IFERROR(INDEX('Inventory'!$F$2:$F$71,MATCH(E514,'Inventory'!$A$2:$A$71,0)),0)</x:f>
        <x:v>949</x:v>
      </x:c>
      <x:c r="L514" s="76" t="n">
        <x:f>SUMIFS('Open_POs'!$D$2:$D$26,'Open_POs'!$B$2:$B$26,E514,'Open_POs'!$E$2:$E$26,"&lt;="&amp;B514)</x:f>
        <x:v>1000</x:v>
      </x:c>
      <x:c r="M514" s="76" t="n">
        <x:f>J514+L514</x:f>
        <x:v>7374</x:v>
      </x:c>
      <x:c r="N514" s="76" t="n">
        <x:f>SUMIFS($I$2:I514,$E$2:E514,E514)</x:f>
        <x:v>18340.399999999998</x:v>
      </x:c>
      <x:c r="O514" s="76" t="n">
        <x:f>M514-N514</x:f>
        <x:v>-10966.399999999998</x:v>
      </x:c>
      <x:c r="P514" s="71" t="str">
        <x:f>IF(O514&lt;0,"SHORT",IF(O514&lt;K514,"BELOW TARGET","COVERED"))</x:f>
        <x:v>SHORT</x:v>
      </x:c>
      <x:c r="Q514" s="63" t="str">
        <x:f>IF(AND(P514="SHORT",COUNTIFS($E$2:E514,E514,$P$2:P514,"SHORT")=1),B514,"")</x:f>
      </x:c>
    </x:row>
    <x:row r="515" ht="15" customHeight="1">
      <x:c r="A515" s="71" t="str">
        <x:v>SO-26032</x:v>
      </x:c>
      <x:c r="B515" s="75" t="n">
        <x:v>46289</x:v>
      </x:c>
      <x:c r="C515" s="71" t="str">
        <x:v>High</x:v>
      </x:c>
      <x:c r="D515" s="71" t="str">
        <x:v>FG-007</x:v>
      </x:c>
      <x:c r="E515" s="71" t="str">
        <x:v>RM-063</x:v>
      </x:c>
      <x:c r="F515" s="71" t="str">
        <x:v>Filler 063</x:v>
      </x:c>
      <x:c r="G515" s="76" t="n">
        <x:v>20</x:v>
      </x:c>
      <x:c r="H515" s="76" t="n">
        <x:v>104.71</x:v>
      </x:c>
      <x:c r="I515" s="76" t="n">
        <x:f>G515*H515</x:f>
        <x:v>2094.2</x:v>
      </x:c>
      <x:c r="J515" s="76" t="n">
        <x:f>IFERROR(INDEX('Inventory'!$E$2:$E$71,MATCH(E515,'Inventory'!$A$2:$A$71,0)),0)</x:f>
        <x:v>7508</x:v>
      </x:c>
      <x:c r="K515" s="76" t="n">
        <x:f>IFERROR(INDEX('Inventory'!$F$2:$F$71,MATCH(E515,'Inventory'!$A$2:$A$71,0)),0)</x:f>
        <x:v>1090</x:v>
      </x:c>
      <x:c r="L515" s="76" t="n">
        <x:f>SUMIFS('Open_POs'!$D$2:$D$26,'Open_POs'!$B$2:$B$26,E515,'Open_POs'!$E$2:$E$26,"&lt;="&amp;B515)</x:f>
        <x:v>5000</x:v>
      </x:c>
      <x:c r="M515" s="76" t="n">
        <x:f>J515+L515</x:f>
        <x:v>12508</x:v>
      </x:c>
      <x:c r="N515" s="76" t="n">
        <x:f>SUMIFS($I$2:I515,$E$2:E515,E515)</x:f>
        <x:v>73695.79999999999</x:v>
      </x:c>
      <x:c r="O515" s="76" t="n">
        <x:f>M515-N515</x:f>
        <x:v>-61187.79999999999</x:v>
      </x:c>
      <x:c r="P515" s="71" t="str">
        <x:f>IF(O515&lt;0,"SHORT",IF(O515&lt;K515,"BELOW TARGET","COVERED"))</x:f>
        <x:v>SHORT</x:v>
      </x:c>
      <x:c r="Q515" s="63" t="str">
        <x:f>IF(AND(P515="SHORT",COUNTIFS($E$2:E515,E515,$P$2:P515,"SHORT")=1),B515,"")</x:f>
      </x:c>
    </x:row>
    <x:row r="516" ht="15" customHeight="1">
      <x:c r="A516" s="71" t="str">
        <x:v>SO-26032</x:v>
      </x:c>
      <x:c r="B516" s="75" t="n">
        <x:v>46289</x:v>
      </x:c>
      <x:c r="C516" s="71" t="str">
        <x:v>High</x:v>
      </x:c>
      <x:c r="D516" s="71" t="str">
        <x:v>FG-007</x:v>
      </x:c>
      <x:c r="E516" s="71" t="str">
        <x:v>RM-065</x:v>
      </x:c>
      <x:c r="F516" s="71" t="str">
        <x:v>Packaging 065</x:v>
      </x:c>
      <x:c r="G516" s="76" t="n">
        <x:v>20</x:v>
      </x:c>
      <x:c r="H516" s="76" t="n">
        <x:v>117.99</x:v>
      </x:c>
      <x:c r="I516" s="76" t="n">
        <x:f>G516*H516</x:f>
        <x:v>2359.7999999999997</x:v>
      </x:c>
      <x:c r="J516" s="76" t="n">
        <x:f>IFERROR(INDEX('Inventory'!$E$2:$E$71,MATCH(E516,'Inventory'!$A$2:$A$71,0)),0)</x:f>
        <x:v>9289</x:v>
      </x:c>
      <x:c r="K516" s="76" t="n">
        <x:f>IFERROR(INDEX('Inventory'!$F$2:$F$71,MATCH(E516,'Inventory'!$A$2:$A$71,0)),0)</x:f>
        <x:v>282</x:v>
      </x:c>
      <x:c r="L516" s="76" t="n">
        <x:f>SUMIFS('Open_POs'!$D$2:$D$26,'Open_POs'!$B$2:$B$26,E516,'Open_POs'!$E$2:$E$26,"&lt;="&amp;B516)</x:f>
        <x:v>2500</x:v>
      </x:c>
      <x:c r="M516" s="76" t="n">
        <x:f>J516+L516</x:f>
        <x:v>11789</x:v>
      </x:c>
      <x:c r="N516" s="76" t="n">
        <x:f>SUMIFS($I$2:I516,$E$2:E516,E516)</x:f>
        <x:v>18878.399999999998</x:v>
      </x:c>
      <x:c r="O516" s="76" t="n">
        <x:f>M516-N516</x:f>
        <x:v>-7089.399999999998</x:v>
      </x:c>
      <x:c r="P516" s="71" t="str">
        <x:f>IF(O516&lt;0,"SHORT",IF(O516&lt;K516,"BELOW TARGET","COVERED"))</x:f>
        <x:v>SHORT</x:v>
      </x:c>
      <x:c r="Q516" s="63" t="str">
        <x:f>IF(AND(P516="SHORT",COUNTIFS($E$2:E516,E516,$P$2:P516,"SHORT")=1),B516,"")</x:f>
      </x:c>
    </x:row>
    <x:row r="517" ht="15" customHeight="1">
      <x:c r="A517" s="71" t="str">
        <x:v>SO-26084</x:v>
      </x:c>
      <x:c r="B517" s="75" t="n">
        <x:v>46289</x:v>
      </x:c>
      <x:c r="C517" s="71" t="str">
        <x:v>High</x:v>
      </x:c>
      <x:c r="D517" s="71" t="str">
        <x:v>FG-012</x:v>
      </x:c>
      <x:c r="E517" s="71" t="str">
        <x:v>RM-009</x:v>
      </x:c>
      <x:c r="F517" s="71" t="str">
        <x:v>Additive 009</x:v>
      </x:c>
      <x:c r="G517" s="76" t="n">
        <x:v>20</x:v>
      </x:c>
      <x:c r="H517" s="76" t="n">
        <x:v>142.56</x:v>
      </x:c>
      <x:c r="I517" s="76" t="n">
        <x:f>G517*H517</x:f>
        <x:v>2851.2</x:v>
      </x:c>
      <x:c r="J517" s="76" t="n">
        <x:f>IFERROR(INDEX('Inventory'!$E$2:$E$71,MATCH(E517,'Inventory'!$A$2:$A$71,0)),0)</x:f>
        <x:v>13813</x:v>
      </x:c>
      <x:c r="K517" s="76" t="n">
        <x:f>IFERROR(INDEX('Inventory'!$F$2:$F$71,MATCH(E517,'Inventory'!$A$2:$A$71,0)),0)</x:f>
        <x:v>1377</x:v>
      </x:c>
      <x:c r="L517" s="76" t="n">
        <x:f>SUMIFS('Open_POs'!$D$2:$D$26,'Open_POs'!$B$2:$B$26,E517,'Open_POs'!$E$2:$E$26,"&lt;="&amp;B517)</x:f>
        <x:v>0</x:v>
      </x:c>
      <x:c r="M517" s="76" t="n">
        <x:f>J517+L517</x:f>
        <x:v>13813</x:v>
      </x:c>
      <x:c r="N517" s="76" t="n">
        <x:f>SUMIFS($I$2:I517,$E$2:E517,E517)</x:f>
        <x:v>54148.3</x:v>
      </x:c>
      <x:c r="O517" s="76" t="n">
        <x:f>M517-N517</x:f>
        <x:v>-40335.3</x:v>
      </x:c>
      <x:c r="P517" s="71" t="str">
        <x:f>IF(O517&lt;0,"SHORT",IF(O517&lt;K517,"BELOW TARGET","COVERED"))</x:f>
        <x:v>SHORT</x:v>
      </x:c>
      <x:c r="Q517" s="63" t="str">
        <x:f>IF(AND(P517="SHORT",COUNTIFS($E$2:E517,E517,$P$2:P517,"SHORT")=1),B517,"")</x:f>
      </x:c>
    </x:row>
    <x:row r="518" ht="15" customHeight="1">
      <x:c r="A518" s="71" t="str">
        <x:v>SO-26084</x:v>
      </x:c>
      <x:c r="B518" s="75" t="n">
        <x:v>46289</x:v>
      </x:c>
      <x:c r="C518" s="71" t="str">
        <x:v>High</x:v>
      </x:c>
      <x:c r="D518" s="71" t="str">
        <x:v>FG-012</x:v>
      </x:c>
      <x:c r="E518" s="71" t="str">
        <x:v>RM-016</x:v>
      </x:c>
      <x:c r="F518" s="71" t="str">
        <x:v>Resin 016</x:v>
      </x:c>
      <x:c r="G518" s="76" t="n">
        <x:v>20</x:v>
      </x:c>
      <x:c r="H518" s="76" t="n">
        <x:v>21.81</x:v>
      </x:c>
      <x:c r="I518" s="76" t="n">
        <x:f>G518*H518</x:f>
        <x:v>436.2</x:v>
      </x:c>
      <x:c r="J518" s="76" t="n">
        <x:f>IFERROR(INDEX('Inventory'!$E$2:$E$71,MATCH(E518,'Inventory'!$A$2:$A$71,0)),0)</x:f>
        <x:v>116</x:v>
      </x:c>
      <x:c r="K518" s="76" t="n">
        <x:f>IFERROR(INDEX('Inventory'!$F$2:$F$71,MATCH(E518,'Inventory'!$A$2:$A$71,0)),0)</x:f>
        <x:v>888</x:v>
      </x:c>
      <x:c r="L518" s="76" t="n">
        <x:f>SUMIFS('Open_POs'!$D$2:$D$26,'Open_POs'!$B$2:$B$26,E518,'Open_POs'!$E$2:$E$26,"&lt;="&amp;B518)</x:f>
        <x:v>0</x:v>
      </x:c>
      <x:c r="M518" s="76" t="n">
        <x:f>J518+L518</x:f>
        <x:v>116</x:v>
      </x:c>
      <x:c r="N518" s="76" t="n">
        <x:f>SUMIFS($I$2:I518,$E$2:E518,E518)</x:f>
        <x:v>14218.900000000001</x:v>
      </x:c>
      <x:c r="O518" s="76" t="n">
        <x:f>M518-N518</x:f>
        <x:v>-14102.900000000001</x:v>
      </x:c>
      <x:c r="P518" s="71" t="str">
        <x:f>IF(O518&lt;0,"SHORT",IF(O518&lt;K518,"BELOW TARGET","COVERED"))</x:f>
        <x:v>SHORT</x:v>
      </x:c>
      <x:c r="Q518" s="63" t="str">
        <x:f>IF(AND(P518="SHORT",COUNTIFS($E$2:E518,E518,$P$2:P518,"SHORT")=1),B518,"")</x:f>
      </x:c>
    </x:row>
    <x:row r="519" ht="15" customHeight="1">
      <x:c r="A519" s="71" t="str">
        <x:v>SO-26084</x:v>
      </x:c>
      <x:c r="B519" s="75" t="n">
        <x:v>46289</x:v>
      </x:c>
      <x:c r="C519" s="71" t="str">
        <x:v>High</x:v>
      </x:c>
      <x:c r="D519" s="71" t="str">
        <x:v>FG-012</x:v>
      </x:c>
      <x:c r="E519" s="71" t="str">
        <x:v>RM-024</x:v>
      </x:c>
      <x:c r="F519" s="71" t="str">
        <x:v>Additive 024</x:v>
      </x:c>
      <x:c r="G519" s="76" t="n">
        <x:v>20</x:v>
      </x:c>
      <x:c r="H519" s="76" t="n">
        <x:v>20.92</x:v>
      </x:c>
      <x:c r="I519" s="76" t="n">
        <x:f>G519*H519</x:f>
        <x:v>418.40000000000003</x:v>
      </x:c>
      <x:c r="J519" s="76" t="n">
        <x:f>IFERROR(INDEX('Inventory'!$E$2:$E$71,MATCH(E519,'Inventory'!$A$2:$A$71,0)),0)</x:f>
        <x:v>542</x:v>
      </x:c>
      <x:c r="K519" s="76" t="n">
        <x:f>IFERROR(INDEX('Inventory'!$F$2:$F$71,MATCH(E519,'Inventory'!$A$2:$A$71,0)),0)</x:f>
        <x:v>1356</x:v>
      </x:c>
      <x:c r="L519" s="76" t="n">
        <x:f>SUMIFS('Open_POs'!$D$2:$D$26,'Open_POs'!$B$2:$B$26,E519,'Open_POs'!$E$2:$E$26,"&lt;="&amp;B519)</x:f>
        <x:v>0</x:v>
      </x:c>
      <x:c r="M519" s="76" t="n">
        <x:f>J519+L519</x:f>
        <x:v>542</x:v>
      </x:c>
      <x:c r="N519" s="76" t="n">
        <x:f>SUMIFS($I$2:I519,$E$2:E519,E519)</x:f>
        <x:v>36381.4</x:v>
      </x:c>
      <x:c r="O519" s="76" t="n">
        <x:f>M519-N519</x:f>
        <x:v>-35839.4</x:v>
      </x:c>
      <x:c r="P519" s="71" t="str">
        <x:f>IF(O519&lt;0,"SHORT",IF(O519&lt;K519,"BELOW TARGET","COVERED"))</x:f>
        <x:v>SHORT</x:v>
      </x:c>
      <x:c r="Q519" s="63" t="str">
        <x:f>IF(AND(P519="SHORT",COUNTIFS($E$2:E519,E519,$P$2:P519,"SHORT")=1),B519,"")</x:f>
      </x:c>
    </x:row>
    <x:row r="520" ht="15" customHeight="1">
      <x:c r="A520" s="71" t="str">
        <x:v>SO-26084</x:v>
      </x:c>
      <x:c r="B520" s="75" t="n">
        <x:v>46289</x:v>
      </x:c>
      <x:c r="C520" s="71" t="str">
        <x:v>High</x:v>
      </x:c>
      <x:c r="D520" s="71" t="str">
        <x:v>FG-012</x:v>
      </x:c>
      <x:c r="E520" s="71" t="str">
        <x:v>RM-027</x:v>
      </x:c>
      <x:c r="F520" s="71" t="str">
        <x:v>Pigment 027</x:v>
      </x:c>
      <x:c r="G520" s="76" t="n">
        <x:v>20</x:v>
      </x:c>
      <x:c r="H520" s="76" t="n">
        <x:v>82.49</x:v>
      </x:c>
      <x:c r="I520" s="76" t="n">
        <x:f>G520*H520</x:f>
        <x:v>1649.8</x:v>
      </x:c>
      <x:c r="J520" s="76" t="n">
        <x:f>IFERROR(INDEX('Inventory'!$E$2:$E$71,MATCH(E520,'Inventory'!$A$2:$A$71,0)),0)</x:f>
        <x:v>5600</x:v>
      </x:c>
      <x:c r="K520" s="76" t="n">
        <x:f>IFERROR(INDEX('Inventory'!$F$2:$F$71,MATCH(E520,'Inventory'!$A$2:$A$71,0)),0)</x:f>
        <x:v>267</x:v>
      </x:c>
      <x:c r="L520" s="76" t="n">
        <x:f>SUMIFS('Open_POs'!$D$2:$D$26,'Open_POs'!$B$2:$B$26,E520,'Open_POs'!$E$2:$E$26,"&lt;="&amp;B520)</x:f>
        <x:v>0</x:v>
      </x:c>
      <x:c r="M520" s="76" t="n">
        <x:f>J520+L520</x:f>
        <x:v>5600</x:v>
      </x:c>
      <x:c r="N520" s="76" t="n">
        <x:f>SUMIFS($I$2:I520,$E$2:E520,E520)</x:f>
        <x:v>24292.8</x:v>
      </x:c>
      <x:c r="O520" s="76" t="n">
        <x:f>M520-N520</x:f>
        <x:v>-18692.8</x:v>
      </x:c>
      <x:c r="P520" s="71" t="str">
        <x:f>IF(O520&lt;0,"SHORT",IF(O520&lt;K520,"BELOW TARGET","COVERED"))</x:f>
        <x:v>SHORT</x:v>
      </x:c>
      <x:c r="Q520" s="63" t="str">
        <x:f>IF(AND(P520="SHORT",COUNTIFS($E$2:E520,E520,$P$2:P520,"SHORT")=1),B520,"")</x:f>
      </x:c>
    </x:row>
    <x:row r="521" ht="15" customHeight="1">
      <x:c r="A521" s="71" t="str">
        <x:v>SO-26084</x:v>
      </x:c>
      <x:c r="B521" s="75" t="n">
        <x:v>46289</x:v>
      </x:c>
      <x:c r="C521" s="71" t="str">
        <x:v>High</x:v>
      </x:c>
      <x:c r="D521" s="71" t="str">
        <x:v>FG-012</x:v>
      </x:c>
      <x:c r="E521" s="71" t="str">
        <x:v>RM-037</x:v>
      </x:c>
      <x:c r="F521" s="71" t="str">
        <x:v>Pigment 037</x:v>
      </x:c>
      <x:c r="G521" s="76" t="n">
        <x:v>20</x:v>
      </x:c>
      <x:c r="H521" s="76" t="n">
        <x:v>140.04</x:v>
      </x:c>
      <x:c r="I521" s="76" t="n">
        <x:f>G521*H521</x:f>
        <x:v>2800.7999999999997</x:v>
      </x:c>
      <x:c r="J521" s="76" t="n">
        <x:f>IFERROR(INDEX('Inventory'!$E$2:$E$71,MATCH(E521,'Inventory'!$A$2:$A$71,0)),0)</x:f>
        <x:v>14210</x:v>
      </x:c>
      <x:c r="K521" s="76" t="n">
        <x:f>IFERROR(INDEX('Inventory'!$F$2:$F$71,MATCH(E521,'Inventory'!$A$2:$A$71,0)),0)</x:f>
        <x:v>850</x:v>
      </x:c>
      <x:c r="L521" s="76" t="n">
        <x:f>SUMIFS('Open_POs'!$D$2:$D$26,'Open_POs'!$B$2:$B$26,E521,'Open_POs'!$E$2:$E$26,"&lt;="&amp;B521)</x:f>
        <x:v>2500</x:v>
      </x:c>
      <x:c r="M521" s="76" t="n">
        <x:f>J521+L521</x:f>
        <x:v>16710</x:v>
      </x:c>
      <x:c r="N521" s="76" t="n">
        <x:f>SUMIFS($I$2:I521,$E$2:E521,E521)</x:f>
        <x:v>31490.599999999995</x:v>
      </x:c>
      <x:c r="O521" s="76" t="n">
        <x:f>M521-N521</x:f>
        <x:v>-14780.599999999995</x:v>
      </x:c>
      <x:c r="P521" s="71" t="str">
        <x:f>IF(O521&lt;0,"SHORT",IF(O521&lt;K521,"BELOW TARGET","COVERED"))</x:f>
        <x:v>SHORT</x:v>
      </x:c>
      <x:c r="Q521" s="63" t="str">
        <x:f>IF(AND(P521="SHORT",COUNTIFS($E$2:E521,E521,$P$2:P521,"SHORT")=1),B521,"")</x:f>
      </x:c>
    </x:row>
    <x:row r="522" ht="15" customHeight="1">
      <x:c r="A522" s="71" t="str">
        <x:v>SO-26084</x:v>
      </x:c>
      <x:c r="B522" s="75" t="n">
        <x:v>46289</x:v>
      </x:c>
      <x:c r="C522" s="71" t="str">
        <x:v>High</x:v>
      </x:c>
      <x:c r="D522" s="71" t="str">
        <x:v>FG-012</x:v>
      </x:c>
      <x:c r="E522" s="71" t="str">
        <x:v>RM-038</x:v>
      </x:c>
      <x:c r="F522" s="71" t="str">
        <x:v>Filler 038</x:v>
      </x:c>
      <x:c r="G522" s="76" t="n">
        <x:v>20</x:v>
      </x:c>
      <x:c r="H522" s="76" t="n">
        <x:v>76.43</x:v>
      </x:c>
      <x:c r="I522" s="76" t="n">
        <x:f>G522*H522</x:f>
        <x:v>1528.6000000000001</x:v>
      </x:c>
      <x:c r="J522" s="76" t="n">
        <x:f>IFERROR(INDEX('Inventory'!$E$2:$E$71,MATCH(E522,'Inventory'!$A$2:$A$71,0)),0)</x:f>
        <x:v>10042</x:v>
      </x:c>
      <x:c r="K522" s="76" t="n">
        <x:f>IFERROR(INDEX('Inventory'!$F$2:$F$71,MATCH(E522,'Inventory'!$A$2:$A$71,0)),0)</x:f>
        <x:v>1452</x:v>
      </x:c>
      <x:c r="L522" s="76" t="n">
        <x:f>SUMIFS('Open_POs'!$D$2:$D$26,'Open_POs'!$B$2:$B$26,E522,'Open_POs'!$E$2:$E$26,"&lt;="&amp;B522)</x:f>
        <x:v>10000</x:v>
      </x:c>
      <x:c r="M522" s="76" t="n">
        <x:f>J522+L522</x:f>
        <x:v>20042</x:v>
      </x:c>
      <x:c r="N522" s="76" t="n">
        <x:f>SUMIFS($I$2:I522,$E$2:E522,E522)</x:f>
        <x:v>38953.2</x:v>
      </x:c>
      <x:c r="O522" s="76" t="n">
        <x:f>M522-N522</x:f>
        <x:v>-18911.199999999997</x:v>
      </x:c>
      <x:c r="P522" s="71" t="str">
        <x:f>IF(O522&lt;0,"SHORT",IF(O522&lt;K522,"BELOW TARGET","COVERED"))</x:f>
        <x:v>SHORT</x:v>
      </x:c>
      <x:c r="Q522" s="63" t="str">
        <x:f>IF(AND(P522="SHORT",COUNTIFS($E$2:E522,E522,$P$2:P522,"SHORT")=1),B522,"")</x:f>
      </x:c>
    </x:row>
    <x:row r="523" ht="15" customHeight="1">
      <x:c r="A523" s="71" t="str">
        <x:v>SO-26084</x:v>
      </x:c>
      <x:c r="B523" s="75" t="n">
        <x:v>46289</x:v>
      </x:c>
      <x:c r="C523" s="71" t="str">
        <x:v>High</x:v>
      </x:c>
      <x:c r="D523" s="71" t="str">
        <x:v>FG-012</x:v>
      </x:c>
      <x:c r="E523" s="71" t="str">
        <x:v>RM-039</x:v>
      </x:c>
      <x:c r="F523" s="71" t="str">
        <x:v>Additive 039</x:v>
      </x:c>
      <x:c r="G523" s="76" t="n">
        <x:v>20</x:v>
      </x:c>
      <x:c r="H523" s="76" t="n">
        <x:v>125.26</x:v>
      </x:c>
      <x:c r="I523" s="76" t="n">
        <x:f>G523*H523</x:f>
        <x:v>2505.2000000000003</x:v>
      </x:c>
      <x:c r="J523" s="76" t="n">
        <x:f>IFERROR(INDEX('Inventory'!$E$2:$E$71,MATCH(E523,'Inventory'!$A$2:$A$71,0)),0)</x:f>
        <x:v>15593</x:v>
      </x:c>
      <x:c r="K523" s="76" t="n">
        <x:f>IFERROR(INDEX('Inventory'!$F$2:$F$71,MATCH(E523,'Inventory'!$A$2:$A$71,0)),0)</x:f>
        <x:v>1243</x:v>
      </x:c>
      <x:c r="L523" s="76" t="n">
        <x:f>SUMIFS('Open_POs'!$D$2:$D$26,'Open_POs'!$B$2:$B$26,E523,'Open_POs'!$E$2:$E$26,"&lt;="&amp;B523)</x:f>
        <x:v>0</x:v>
      </x:c>
      <x:c r="M523" s="76" t="n">
        <x:f>J523+L523</x:f>
        <x:v>15593</x:v>
      </x:c>
      <x:c r="N523" s="76" t="n">
        <x:f>SUMIFS($I$2:I523,$E$2:E523,E523)</x:f>
        <x:v>48127.79999999999</x:v>
      </x:c>
      <x:c r="O523" s="76" t="n">
        <x:f>M523-N523</x:f>
        <x:v>-32534.79999999999</x:v>
      </x:c>
      <x:c r="P523" s="71" t="str">
        <x:f>IF(O523&lt;0,"SHORT",IF(O523&lt;K523,"BELOW TARGET","COVERED"))</x:f>
        <x:v>SHORT</x:v>
      </x:c>
      <x:c r="Q523" s="63" t="str">
        <x:f>IF(AND(P523="SHORT",COUNTIFS($E$2:E523,E523,$P$2:P523,"SHORT")=1),B523,"")</x:f>
      </x:c>
    </x:row>
    <x:row r="524" ht="15" customHeight="1">
      <x:c r="A524" s="71" t="str">
        <x:v>SO-26084</x:v>
      </x:c>
      <x:c r="B524" s="75" t="n">
        <x:v>46289</x:v>
      </x:c>
      <x:c r="C524" s="71" t="str">
        <x:v>High</x:v>
      </x:c>
      <x:c r="D524" s="71" t="str">
        <x:v>FG-012</x:v>
      </x:c>
      <x:c r="E524" s="71" t="str">
        <x:v>RM-057</x:v>
      </x:c>
      <x:c r="F524" s="71" t="str">
        <x:v>Pigment 057</x:v>
      </x:c>
      <x:c r="G524" s="76" t="n">
        <x:v>20</x:v>
      </x:c>
      <x:c r="H524" s="76" t="n">
        <x:v>37.88</x:v>
      </x:c>
      <x:c r="I524" s="76" t="n">
        <x:f>G524*H524</x:f>
        <x:v>757.6</x:v>
      </x:c>
      <x:c r="J524" s="76" t="n">
        <x:f>IFERROR(INDEX('Inventory'!$E$2:$E$71,MATCH(E524,'Inventory'!$A$2:$A$71,0)),0)</x:f>
        <x:v>5779</x:v>
      </x:c>
      <x:c r="K524" s="76" t="n">
        <x:f>IFERROR(INDEX('Inventory'!$F$2:$F$71,MATCH(E524,'Inventory'!$A$2:$A$71,0)),0)</x:f>
        <x:v>1148</x:v>
      </x:c>
      <x:c r="L524" s="76" t="n">
        <x:f>SUMIFS('Open_POs'!$D$2:$D$26,'Open_POs'!$B$2:$B$26,E524,'Open_POs'!$E$2:$E$26,"&lt;="&amp;B524)</x:f>
        <x:v>2500</x:v>
      </x:c>
      <x:c r="M524" s="76" t="n">
        <x:f>J524+L524</x:f>
        <x:v>8279</x:v>
      </x:c>
      <x:c r="N524" s="76" t="n">
        <x:f>SUMIFS($I$2:I524,$E$2:E524,E524)</x:f>
        <x:v>10106.300000000001</x:v>
      </x:c>
      <x:c r="O524" s="76" t="n">
        <x:f>M524-N524</x:f>
        <x:v>-1827.300000000001</x:v>
      </x:c>
      <x:c r="P524" s="71" t="str">
        <x:f>IF(O524&lt;0,"SHORT",IF(O524&lt;K524,"BELOW TARGET","COVERED"))</x:f>
        <x:v>SHORT</x:v>
      </x:c>
      <x:c r="Q524" s="63" t="str">
        <x:f>IF(AND(P524="SHORT",COUNTIFS($E$2:E524,E524,$P$2:P524,"SHORT")=1),B524,"")</x:f>
      </x:c>
    </x:row>
    <x:row r="525" ht="15" customHeight="1">
      <x:c r="A525" s="71" t="str">
        <x:v>SO-26015</x:v>
      </x:c>
      <x:c r="B525" s="75" t="n">
        <x:v>46289</x:v>
      </x:c>
      <x:c r="C525" s="71" t="str">
        <x:v>Normal</x:v>
      </x:c>
      <x:c r="D525" s="71" t="str">
        <x:v>FG-021</x:v>
      </x:c>
      <x:c r="E525" s="71" t="str">
        <x:v>RM-001</x:v>
      </x:c>
      <x:c r="F525" s="71" t="str">
        <x:v>Resin 001</x:v>
      </x:c>
      <x:c r="G525" s="76" t="n">
        <x:v>100</x:v>
      </x:c>
      <x:c r="H525" s="76" t="n">
        <x:v>56.97</x:v>
      </x:c>
      <x:c r="I525" s="76" t="n">
        <x:f>G525*H525</x:f>
        <x:v>5697</x:v>
      </x:c>
      <x:c r="J525" s="76" t="n">
        <x:f>IFERROR(INDEX('Inventory'!$E$2:$E$71,MATCH(E525,'Inventory'!$A$2:$A$71,0)),0)</x:f>
        <x:v>9214</x:v>
      </x:c>
      <x:c r="K525" s="76" t="n">
        <x:f>IFERROR(INDEX('Inventory'!$F$2:$F$71,MATCH(E525,'Inventory'!$A$2:$A$71,0)),0)</x:f>
        <x:v>713</x:v>
      </x:c>
      <x:c r="L525" s="76" t="n">
        <x:f>SUMIFS('Open_POs'!$D$2:$D$26,'Open_POs'!$B$2:$B$26,E525,'Open_POs'!$E$2:$E$26,"&lt;="&amp;B525)</x:f>
        <x:v>0</x:v>
      </x:c>
      <x:c r="M525" s="76" t="n">
        <x:f>J525+L525</x:f>
        <x:v>9214</x:v>
      </x:c>
      <x:c r="N525" s="76" t="n">
        <x:f>SUMIFS($I$2:I525,$E$2:E525,E525)</x:f>
        <x:v>25441.800000000003</x:v>
      </x:c>
      <x:c r="O525" s="76" t="n">
        <x:f>M525-N525</x:f>
        <x:v>-16227.800000000003</x:v>
      </x:c>
      <x:c r="P525" s="71" t="str">
        <x:f>IF(O525&lt;0,"SHORT",IF(O525&lt;K525,"BELOW TARGET","COVERED"))</x:f>
        <x:v>SHORT</x:v>
      </x:c>
      <x:c r="Q525" s="63" t="str">
        <x:f>IF(AND(P525="SHORT",COUNTIFS($E$2:E525,E525,$P$2:P525,"SHORT")=1),B525,"")</x:f>
      </x:c>
    </x:row>
    <x:row r="526" ht="15" customHeight="1">
      <x:c r="A526" s="71" t="str">
        <x:v>SO-26015</x:v>
      </x:c>
      <x:c r="B526" s="75" t="n">
        <x:v>46289</x:v>
      </x:c>
      <x:c r="C526" s="71" t="str">
        <x:v>Normal</x:v>
      </x:c>
      <x:c r="D526" s="71" t="str">
        <x:v>FG-021</x:v>
      </x:c>
      <x:c r="E526" s="71" t="str">
        <x:v>RM-013</x:v>
      </x:c>
      <x:c r="F526" s="71" t="str">
        <x:v>Filler 013</x:v>
      </x:c>
      <x:c r="G526" s="76" t="n">
        <x:v>100</x:v>
      </x:c>
      <x:c r="H526" s="76" t="n">
        <x:v>14.71</x:v>
      </x:c>
      <x:c r="I526" s="76" t="n">
        <x:f>G526*H526</x:f>
        <x:v>1471</x:v>
      </x:c>
      <x:c r="J526" s="76" t="n">
        <x:f>IFERROR(INDEX('Inventory'!$E$2:$E$71,MATCH(E526,'Inventory'!$A$2:$A$71,0)),0)</x:f>
        <x:v>16230</x:v>
      </x:c>
      <x:c r="K526" s="76" t="n">
        <x:f>IFERROR(INDEX('Inventory'!$F$2:$F$71,MATCH(E526,'Inventory'!$A$2:$A$71,0)),0)</x:f>
        <x:v>1037</x:v>
      </x:c>
      <x:c r="L526" s="76" t="n">
        <x:f>SUMIFS('Open_POs'!$D$2:$D$26,'Open_POs'!$B$2:$B$26,E526,'Open_POs'!$E$2:$E$26,"&lt;="&amp;B526)</x:f>
        <x:v>0</x:v>
      </x:c>
      <x:c r="M526" s="76" t="n">
        <x:f>J526+L526</x:f>
        <x:v>16230</x:v>
      </x:c>
      <x:c r="N526" s="76" t="n">
        <x:f>SUMIFS($I$2:I526,$E$2:E526,E526)</x:f>
        <x:v>13106.600000000002</x:v>
      </x:c>
      <x:c r="O526" s="76" t="n">
        <x:f>M526-N526</x:f>
        <x:v>3123.399999999998</x:v>
      </x:c>
      <x:c r="P526" s="71" t="str">
        <x:f>IF(O526&lt;0,"SHORT",IF(O526&lt;K526,"BELOW TARGET","COVERED"))</x:f>
        <x:v>COVERED</x:v>
      </x:c>
      <x:c r="Q526" s="63" t="str">
        <x:f>IF(AND(P526="SHORT",COUNTIFS($E$2:E526,E526,$P$2:P526,"SHORT")=1),B526,"")</x:f>
      </x:c>
    </x:row>
    <x:row r="527" ht="15" customHeight="1">
      <x:c r="A527" s="71" t="str">
        <x:v>SO-26015</x:v>
      </x:c>
      <x:c r="B527" s="75" t="n">
        <x:v>46289</x:v>
      </x:c>
      <x:c r="C527" s="71" t="str">
        <x:v>Normal</x:v>
      </x:c>
      <x:c r="D527" s="71" t="str">
        <x:v>FG-021</x:v>
      </x:c>
      <x:c r="E527" s="71" t="str">
        <x:v>RM-018</x:v>
      </x:c>
      <x:c r="F527" s="71" t="str">
        <x:v>Filler 018</x:v>
      </x:c>
      <x:c r="G527" s="76" t="n">
        <x:v>100</x:v>
      </x:c>
      <x:c r="H527" s="76" t="n">
        <x:v>37.67</x:v>
      </x:c>
      <x:c r="I527" s="76" t="n">
        <x:f>G527*H527</x:f>
        <x:v>3767</x:v>
      </x:c>
      <x:c r="J527" s="76" t="n">
        <x:f>IFERROR(INDEX('Inventory'!$E$2:$E$71,MATCH(E527,'Inventory'!$A$2:$A$71,0)),0)</x:f>
        <x:v>17607</x:v>
      </x:c>
      <x:c r="K527" s="76" t="n">
        <x:f>IFERROR(INDEX('Inventory'!$F$2:$F$71,MATCH(E527,'Inventory'!$A$2:$A$71,0)),0)</x:f>
        <x:v>302</x:v>
      </x:c>
      <x:c r="L527" s="76" t="n">
        <x:f>SUMIFS('Open_POs'!$D$2:$D$26,'Open_POs'!$B$2:$B$26,E527,'Open_POs'!$E$2:$E$26,"&lt;="&amp;B527)</x:f>
        <x:v>10000</x:v>
      </x:c>
      <x:c r="M527" s="76" t="n">
        <x:f>J527+L527</x:f>
        <x:v>27607</x:v>
      </x:c>
      <x:c r="N527" s="76" t="n">
        <x:f>SUMIFS($I$2:I527,$E$2:E527,E527)</x:f>
        <x:v>15467.6</x:v>
      </x:c>
      <x:c r="O527" s="76" t="n">
        <x:f>M527-N527</x:f>
        <x:v>12139.4</x:v>
      </x:c>
      <x:c r="P527" s="71" t="str">
        <x:f>IF(O527&lt;0,"SHORT",IF(O527&lt;K527,"BELOW TARGET","COVERED"))</x:f>
        <x:v>COVERED</x:v>
      </x:c>
      <x:c r="Q527" s="63" t="str">
        <x:f>IF(AND(P527="SHORT",COUNTIFS($E$2:E527,E527,$P$2:P527,"SHORT")=1),B527,"")</x:f>
      </x:c>
    </x:row>
    <x:row r="528" ht="15" customHeight="1">
      <x:c r="A528" s="71" t="str">
        <x:v>SO-26015</x:v>
      </x:c>
      <x:c r="B528" s="75" t="n">
        <x:v>46289</x:v>
      </x:c>
      <x:c r="C528" s="71" t="str">
        <x:v>Normal</x:v>
      </x:c>
      <x:c r="D528" s="71" t="str">
        <x:v>FG-021</x:v>
      </x:c>
      <x:c r="E528" s="71" t="str">
        <x:v>RM-020</x:v>
      </x:c>
      <x:c r="F528" s="71" t="str">
        <x:v>Packaging 020</x:v>
      </x:c>
      <x:c r="G528" s="76" t="n">
        <x:v>100</x:v>
      </x:c>
      <x:c r="H528" s="76" t="n">
        <x:v>51.42</x:v>
      </x:c>
      <x:c r="I528" s="76" t="n">
        <x:f>G528*H528</x:f>
        <x:v>5142</x:v>
      </x:c>
      <x:c r="J528" s="76" t="n">
        <x:f>IFERROR(INDEX('Inventory'!$E$2:$E$71,MATCH(E528,'Inventory'!$A$2:$A$71,0)),0)</x:f>
        <x:v>10528</x:v>
      </x:c>
      <x:c r="K528" s="76" t="n">
        <x:f>IFERROR(INDEX('Inventory'!$F$2:$F$71,MATCH(E528,'Inventory'!$A$2:$A$71,0)),0)</x:f>
        <x:v>881</x:v>
      </x:c>
      <x:c r="L528" s="76" t="n">
        <x:f>SUMIFS('Open_POs'!$D$2:$D$26,'Open_POs'!$B$2:$B$26,E528,'Open_POs'!$E$2:$E$26,"&lt;="&amp;B528)</x:f>
        <x:v>2500</x:v>
      </x:c>
      <x:c r="M528" s="76" t="n">
        <x:f>J528+L528</x:f>
        <x:v>13028</x:v>
      </x:c>
      <x:c r="N528" s="76" t="n">
        <x:f>SUMIFS($I$2:I528,$E$2:E528,E528)</x:f>
        <x:v>26096.800000000003</x:v>
      </x:c>
      <x:c r="O528" s="76" t="n">
        <x:f>M528-N528</x:f>
        <x:v>-13068.800000000003</x:v>
      </x:c>
      <x:c r="P528" s="71" t="str">
        <x:f>IF(O528&lt;0,"SHORT",IF(O528&lt;K528,"BELOW TARGET","COVERED"))</x:f>
        <x:v>SHORT</x:v>
      </x:c>
      <x:c r="Q528" s="63" t="str">
        <x:f>IF(AND(P528="SHORT",COUNTIFS($E$2:E528,E528,$P$2:P528,"SHORT")=1),B528,"")</x:f>
      </x:c>
    </x:row>
    <x:row r="529" ht="15" customHeight="1">
      <x:c r="A529" s="71" t="str">
        <x:v>SO-26015</x:v>
      </x:c>
      <x:c r="B529" s="75" t="n">
        <x:v>46289</x:v>
      </x:c>
      <x:c r="C529" s="71" t="str">
        <x:v>Normal</x:v>
      </x:c>
      <x:c r="D529" s="71" t="str">
        <x:v>FG-021</x:v>
      </x:c>
      <x:c r="E529" s="71" t="str">
        <x:v>RM-044</x:v>
      </x:c>
      <x:c r="F529" s="71" t="str">
        <x:v>Additive 044</x:v>
      </x:c>
      <x:c r="G529" s="76" t="n">
        <x:v>100</x:v>
      </x:c>
      <x:c r="H529" s="76" t="n">
        <x:v>70.82</x:v>
      </x:c>
      <x:c r="I529" s="76" t="n">
        <x:f>G529*H529</x:f>
        <x:v>7081.999999999999</x:v>
      </x:c>
      <x:c r="J529" s="76" t="n">
        <x:f>IFERROR(INDEX('Inventory'!$E$2:$E$71,MATCH(E529,'Inventory'!$A$2:$A$71,0)),0)</x:f>
        <x:v>10361</x:v>
      </x:c>
      <x:c r="K529" s="76" t="n">
        <x:f>IFERROR(INDEX('Inventory'!$F$2:$F$71,MATCH(E529,'Inventory'!$A$2:$A$71,0)),0)</x:f>
        <x:v>571</x:v>
      </x:c>
      <x:c r="L529" s="76" t="n">
        <x:f>SUMIFS('Open_POs'!$D$2:$D$26,'Open_POs'!$B$2:$B$26,E529,'Open_POs'!$E$2:$E$26,"&lt;="&amp;B529)</x:f>
        <x:v>0</x:v>
      </x:c>
      <x:c r="M529" s="76" t="n">
        <x:f>J529+L529</x:f>
        <x:v>10361</x:v>
      </x:c>
      <x:c r="N529" s="76" t="n">
        <x:f>SUMIFS($I$2:I529,$E$2:E529,E529)</x:f>
        <x:v>37649</x:v>
      </x:c>
      <x:c r="O529" s="76" t="n">
        <x:f>M529-N529</x:f>
        <x:v>-27288</x:v>
      </x:c>
      <x:c r="P529" s="71" t="str">
        <x:f>IF(O529&lt;0,"SHORT",IF(O529&lt;K529,"BELOW TARGET","COVERED"))</x:f>
        <x:v>SHORT</x:v>
      </x:c>
      <x:c r="Q529" s="63" t="str">
        <x:f>IF(AND(P529="SHORT",COUNTIFS($E$2:E529,E529,$P$2:P529,"SHORT")=1),B529,"")</x:f>
      </x:c>
    </x:row>
    <x:row r="530" ht="15" customHeight="1">
      <x:c r="A530" s="71" t="str">
        <x:v>SO-26015</x:v>
      </x:c>
      <x:c r="B530" s="75" t="n">
        <x:v>46289</x:v>
      </x:c>
      <x:c r="C530" s="71" t="str">
        <x:v>Normal</x:v>
      </x:c>
      <x:c r="D530" s="71" t="str">
        <x:v>FG-021</x:v>
      </x:c>
      <x:c r="E530" s="71" t="str">
        <x:v>RM-046</x:v>
      </x:c>
      <x:c r="F530" s="71" t="str">
        <x:v>Resin 046</x:v>
      </x:c>
      <x:c r="G530" s="76" t="n">
        <x:v>100</x:v>
      </x:c>
      <x:c r="H530" s="76" t="n">
        <x:v>25.17</x:v>
      </x:c>
      <x:c r="I530" s="76" t="n">
        <x:f>G530*H530</x:f>
        <x:v>2517</x:v>
      </x:c>
      <x:c r="J530" s="76" t="n">
        <x:f>IFERROR(INDEX('Inventory'!$E$2:$E$71,MATCH(E530,'Inventory'!$A$2:$A$71,0)),0)</x:f>
        <x:v>15936</x:v>
      </x:c>
      <x:c r="K530" s="76" t="n">
        <x:f>IFERROR(INDEX('Inventory'!$F$2:$F$71,MATCH(E530,'Inventory'!$A$2:$A$71,0)),0)</x:f>
        <x:v>991</x:v>
      </x:c>
      <x:c r="L530" s="76" t="n">
        <x:f>SUMIFS('Open_POs'!$D$2:$D$26,'Open_POs'!$B$2:$B$26,E530,'Open_POs'!$E$2:$E$26,"&lt;="&amp;B530)</x:f>
        <x:v>0</x:v>
      </x:c>
      <x:c r="M530" s="76" t="n">
        <x:f>J530+L530</x:f>
        <x:v>15936</x:v>
      </x:c>
      <x:c r="N530" s="76" t="n">
        <x:f>SUMIFS($I$2:I530,$E$2:E530,E530)</x:f>
        <x:v>14433.000000000002</x:v>
      </x:c>
      <x:c r="O530" s="76" t="n">
        <x:f>M530-N530</x:f>
        <x:v>1502.9999999999982</x:v>
      </x:c>
      <x:c r="P530" s="71" t="str">
        <x:f>IF(O530&lt;0,"SHORT",IF(O530&lt;K530,"BELOW TARGET","COVERED"))</x:f>
        <x:v>COVERED</x:v>
      </x:c>
      <x:c r="Q530" s="63" t="str">
        <x:f>IF(AND(P530="SHORT",COUNTIFS($E$2:E530,E530,$P$2:P530,"SHORT")=1),B530,"")</x:f>
      </x:c>
    </x:row>
    <x:row r="531" ht="15" customHeight="1">
      <x:c r="A531" s="71" t="str">
        <x:v>SO-26015</x:v>
      </x:c>
      <x:c r="B531" s="75" t="n">
        <x:v>46289</x:v>
      </x:c>
      <x:c r="C531" s="71" t="str">
        <x:v>Normal</x:v>
      </x:c>
      <x:c r="D531" s="71" t="str">
        <x:v>FG-021</x:v>
      </x:c>
      <x:c r="E531" s="71" t="str">
        <x:v>RM-063</x:v>
      </x:c>
      <x:c r="F531" s="71" t="str">
        <x:v>Filler 063</x:v>
      </x:c>
      <x:c r="G531" s="76" t="n">
        <x:v>100</x:v>
      </x:c>
      <x:c r="H531" s="76" t="n">
        <x:v>76.56</x:v>
      </x:c>
      <x:c r="I531" s="76" t="n">
        <x:f>G531*H531</x:f>
        <x:v>7656</x:v>
      </x:c>
      <x:c r="J531" s="76" t="n">
        <x:f>IFERROR(INDEX('Inventory'!$E$2:$E$71,MATCH(E531,'Inventory'!$A$2:$A$71,0)),0)</x:f>
        <x:v>7508</x:v>
      </x:c>
      <x:c r="K531" s="76" t="n">
        <x:f>IFERROR(INDEX('Inventory'!$F$2:$F$71,MATCH(E531,'Inventory'!$A$2:$A$71,0)),0)</x:f>
        <x:v>1090</x:v>
      </x:c>
      <x:c r="L531" s="76" t="n">
        <x:f>SUMIFS('Open_POs'!$D$2:$D$26,'Open_POs'!$B$2:$B$26,E531,'Open_POs'!$E$2:$E$26,"&lt;="&amp;B531)</x:f>
        <x:v>5000</x:v>
      </x:c>
      <x:c r="M531" s="76" t="n">
        <x:f>J531+L531</x:f>
        <x:v>12508</x:v>
      </x:c>
      <x:c r="N531" s="76" t="n">
        <x:f>SUMIFS($I$2:I531,$E$2:E531,E531)</x:f>
        <x:v>81351.79999999999</x:v>
      </x:c>
      <x:c r="O531" s="76" t="n">
        <x:f>M531-N531</x:f>
        <x:v>-68843.79999999999</x:v>
      </x:c>
      <x:c r="P531" s="71" t="str">
        <x:f>IF(O531&lt;0,"SHORT",IF(O531&lt;K531,"BELOW TARGET","COVERED"))</x:f>
        <x:v>SHORT</x:v>
      </x:c>
      <x:c r="Q531" s="63" t="str">
        <x:f>IF(AND(P531="SHORT",COUNTIFS($E$2:E531,E531,$P$2:P531,"SHORT")=1),B531,"")</x:f>
      </x:c>
    </x:row>
    <x:row r="532" ht="15" customHeight="1">
      <x:c r="A532" s="71" t="str">
        <x:v>SO-26004</x:v>
      </x:c>
      <x:c r="B532" s="75" t="n">
        <x:v>46290</x:v>
      </x:c>
      <x:c r="C532" s="71" t="str">
        <x:v>Normal</x:v>
      </x:c>
      <x:c r="D532" s="71" t="str">
        <x:v>FG-013</x:v>
      </x:c>
      <x:c r="E532" s="71" t="str">
        <x:v>RM-020</x:v>
      </x:c>
      <x:c r="F532" s="71" t="str">
        <x:v>Packaging 020</x:v>
      </x:c>
      <x:c r="G532" s="76" t="n">
        <x:v>40</x:v>
      </x:c>
      <x:c r="H532" s="76" t="n">
        <x:v>43.07</x:v>
      </x:c>
      <x:c r="I532" s="76" t="n">
        <x:f>G532*H532</x:f>
        <x:v>1722.8</x:v>
      </x:c>
      <x:c r="J532" s="76" t="n">
        <x:f>IFERROR(INDEX('Inventory'!$E$2:$E$71,MATCH(E532,'Inventory'!$A$2:$A$71,0)),0)</x:f>
        <x:v>10528</x:v>
      </x:c>
      <x:c r="K532" s="76" t="n">
        <x:f>IFERROR(INDEX('Inventory'!$F$2:$F$71,MATCH(E532,'Inventory'!$A$2:$A$71,0)),0)</x:f>
        <x:v>881</x:v>
      </x:c>
      <x:c r="L532" s="76" t="n">
        <x:f>SUMIFS('Open_POs'!$D$2:$D$26,'Open_POs'!$B$2:$B$26,E532,'Open_POs'!$E$2:$E$26,"&lt;="&amp;B532)</x:f>
        <x:v>2500</x:v>
      </x:c>
      <x:c r="M532" s="76" t="n">
        <x:f>J532+L532</x:f>
        <x:v>13028</x:v>
      </x:c>
      <x:c r="N532" s="76" t="n">
        <x:f>SUMIFS($I$2:I532,$E$2:E532,E532)</x:f>
        <x:v>27819.600000000002</x:v>
      </x:c>
      <x:c r="O532" s="76" t="n">
        <x:f>M532-N532</x:f>
        <x:v>-14791.600000000002</x:v>
      </x:c>
      <x:c r="P532" s="71" t="str">
        <x:f>IF(O532&lt;0,"SHORT",IF(O532&lt;K532,"BELOW TARGET","COVERED"))</x:f>
        <x:v>SHORT</x:v>
      </x:c>
      <x:c r="Q532" s="63" t="str">
        <x:f>IF(AND(P532="SHORT",COUNTIFS($E$2:E532,E532,$P$2:P532,"SHORT")=1),B532,"")</x:f>
      </x:c>
    </x:row>
    <x:row r="533" ht="15" customHeight="1">
      <x:c r="A533" s="71" t="str">
        <x:v>SO-26004</x:v>
      </x:c>
      <x:c r="B533" s="75" t="n">
        <x:v>46290</x:v>
      </x:c>
      <x:c r="C533" s="71" t="str">
        <x:v>Normal</x:v>
      </x:c>
      <x:c r="D533" s="71" t="str">
        <x:v>FG-013</x:v>
      </x:c>
      <x:c r="E533" s="71" t="str">
        <x:v>RM-025</x:v>
      </x:c>
      <x:c r="F533" s="71" t="str">
        <x:v>Packaging 025</x:v>
      </x:c>
      <x:c r="G533" s="76" t="n">
        <x:v>40</x:v>
      </x:c>
      <x:c r="H533" s="76" t="n">
        <x:v>50.79</x:v>
      </x:c>
      <x:c r="I533" s="76" t="n">
        <x:f>G533*H533</x:f>
        <x:v>2031.6</x:v>
      </x:c>
      <x:c r="J533" s="76" t="n">
        <x:f>IFERROR(INDEX('Inventory'!$E$2:$E$71,MATCH(E533,'Inventory'!$A$2:$A$71,0)),0)</x:f>
        <x:v>2469</x:v>
      </x:c>
      <x:c r="K533" s="76" t="n">
        <x:f>IFERROR(INDEX('Inventory'!$F$2:$F$71,MATCH(E533,'Inventory'!$A$2:$A$71,0)),0)</x:f>
        <x:v>229</x:v>
      </x:c>
      <x:c r="L533" s="76" t="n">
        <x:f>SUMIFS('Open_POs'!$D$2:$D$26,'Open_POs'!$B$2:$B$26,E533,'Open_POs'!$E$2:$E$26,"&lt;="&amp;B533)</x:f>
        <x:v>10000</x:v>
      </x:c>
      <x:c r="M533" s="76" t="n">
        <x:f>J533+L533</x:f>
        <x:v>12469</x:v>
      </x:c>
      <x:c r="N533" s="76" t="n">
        <x:f>SUMIFS($I$2:I533,$E$2:E533,E533)</x:f>
        <x:v>47125.39999999999</x:v>
      </x:c>
      <x:c r="O533" s="76" t="n">
        <x:f>M533-N533</x:f>
        <x:v>-34656.39999999999</x:v>
      </x:c>
      <x:c r="P533" s="71" t="str">
        <x:f>IF(O533&lt;0,"SHORT",IF(O533&lt;K533,"BELOW TARGET","COVERED"))</x:f>
        <x:v>SHORT</x:v>
      </x:c>
      <x:c r="Q533" s="63" t="str">
        <x:f>IF(AND(P533="SHORT",COUNTIFS($E$2:E533,E533,$P$2:P533,"SHORT")=1),B533,"")</x:f>
      </x:c>
    </x:row>
    <x:row r="534" ht="15" customHeight="1">
      <x:c r="A534" s="71" t="str">
        <x:v>SO-26004</x:v>
      </x:c>
      <x:c r="B534" s="75" t="n">
        <x:v>46290</x:v>
      </x:c>
      <x:c r="C534" s="71" t="str">
        <x:v>Normal</x:v>
      </x:c>
      <x:c r="D534" s="71" t="str">
        <x:v>FG-013</x:v>
      </x:c>
      <x:c r="E534" s="71" t="str">
        <x:v>RM-032</x:v>
      </x:c>
      <x:c r="F534" s="71" t="str">
        <x:v>Pigment 032</x:v>
      </x:c>
      <x:c r="G534" s="76" t="n">
        <x:v>40</x:v>
      </x:c>
      <x:c r="H534" s="76" t="n">
        <x:v>11.74</x:v>
      </x:c>
      <x:c r="I534" s="76" t="n">
        <x:f>G534*H534</x:f>
        <x:v>469.6</x:v>
      </x:c>
      <x:c r="J534" s="76" t="n">
        <x:f>IFERROR(INDEX('Inventory'!$E$2:$E$71,MATCH(E534,'Inventory'!$A$2:$A$71,0)),0)</x:f>
        <x:v>674</x:v>
      </x:c>
      <x:c r="K534" s="76" t="n">
        <x:f>IFERROR(INDEX('Inventory'!$F$2:$F$71,MATCH(E534,'Inventory'!$A$2:$A$71,0)),0)</x:f>
        <x:v>1056</x:v>
      </x:c>
      <x:c r="L534" s="76" t="n">
        <x:f>SUMIFS('Open_POs'!$D$2:$D$26,'Open_POs'!$B$2:$B$26,E534,'Open_POs'!$E$2:$E$26,"&lt;="&amp;B534)</x:f>
        <x:v>2500</x:v>
      </x:c>
      <x:c r="M534" s="76" t="n">
        <x:f>J534+L534</x:f>
        <x:v>3174</x:v>
      </x:c>
      <x:c r="N534" s="76" t="n">
        <x:f>SUMIFS($I$2:I534,$E$2:E534,E534)</x:f>
        <x:v>71825.2</x:v>
      </x:c>
      <x:c r="O534" s="76" t="n">
        <x:f>M534-N534</x:f>
        <x:v>-68651.2</x:v>
      </x:c>
      <x:c r="P534" s="71" t="str">
        <x:f>IF(O534&lt;0,"SHORT",IF(O534&lt;K534,"BELOW TARGET","COVERED"))</x:f>
        <x:v>SHORT</x:v>
      </x:c>
      <x:c r="Q534" s="63" t="str">
        <x:f>IF(AND(P534="SHORT",COUNTIFS($E$2:E534,E534,$P$2:P534,"SHORT")=1),B534,"")</x:f>
      </x:c>
    </x:row>
    <x:row r="535" ht="15" customHeight="1">
      <x:c r="A535" s="71" t="str">
        <x:v>SO-26004</x:v>
      </x:c>
      <x:c r="B535" s="75" t="n">
        <x:v>46290</x:v>
      </x:c>
      <x:c r="C535" s="71" t="str">
        <x:v>Normal</x:v>
      </x:c>
      <x:c r="D535" s="71" t="str">
        <x:v>FG-013</x:v>
      </x:c>
      <x:c r="E535" s="71" t="str">
        <x:v>RM-034</x:v>
      </x:c>
      <x:c r="F535" s="71" t="str">
        <x:v>Additive 034</x:v>
      </x:c>
      <x:c r="G535" s="76" t="n">
        <x:v>40</x:v>
      </x:c>
      <x:c r="H535" s="76" t="n">
        <x:v>81.11</x:v>
      </x:c>
      <x:c r="I535" s="76" t="n">
        <x:f>G535*H535</x:f>
        <x:v>3244.4</x:v>
      </x:c>
      <x:c r="J535" s="76" t="n">
        <x:f>IFERROR(INDEX('Inventory'!$E$2:$E$71,MATCH(E535,'Inventory'!$A$2:$A$71,0)),0)</x:f>
        <x:v>1971</x:v>
      </x:c>
      <x:c r="K535" s="76" t="n">
        <x:f>IFERROR(INDEX('Inventory'!$F$2:$F$71,MATCH(E535,'Inventory'!$A$2:$A$71,0)),0)</x:f>
        <x:v>1061</x:v>
      </x:c>
      <x:c r="L535" s="76" t="n">
        <x:f>SUMIFS('Open_POs'!$D$2:$D$26,'Open_POs'!$B$2:$B$26,E535,'Open_POs'!$E$2:$E$26,"&lt;="&amp;B535)</x:f>
        <x:v>0</x:v>
      </x:c>
      <x:c r="M535" s="76" t="n">
        <x:f>J535+L535</x:f>
        <x:v>1971</x:v>
      </x:c>
      <x:c r="N535" s="76" t="n">
        <x:f>SUMIFS($I$2:I535,$E$2:E535,E535)</x:f>
        <x:v>44915.4</x:v>
      </x:c>
      <x:c r="O535" s="76" t="n">
        <x:f>M535-N535</x:f>
        <x:v>-42944.4</x:v>
      </x:c>
      <x:c r="P535" s="71" t="str">
        <x:f>IF(O535&lt;0,"SHORT",IF(O535&lt;K535,"BELOW TARGET","COVERED"))</x:f>
        <x:v>SHORT</x:v>
      </x:c>
      <x:c r="Q535" s="63" t="str">
        <x:f>IF(AND(P535="SHORT",COUNTIFS($E$2:E535,E535,$P$2:P535,"SHORT")=1),B535,"")</x:f>
      </x:c>
    </x:row>
    <x:row r="536" ht="15" customHeight="1">
      <x:c r="A536" s="71" t="str">
        <x:v>SO-26004</x:v>
      </x:c>
      <x:c r="B536" s="75" t="n">
        <x:v>46290</x:v>
      </x:c>
      <x:c r="C536" s="71" t="str">
        <x:v>Normal</x:v>
      </x:c>
      <x:c r="D536" s="71" t="str">
        <x:v>FG-013</x:v>
      </x:c>
      <x:c r="E536" s="71" t="str">
        <x:v>RM-052</x:v>
      </x:c>
      <x:c r="F536" s="71" t="str">
        <x:v>Pigment 052</x:v>
      </x:c>
      <x:c r="G536" s="76" t="n">
        <x:v>40</x:v>
      </x:c>
      <x:c r="H536" s="76" t="n">
        <x:v>52.29</x:v>
      </x:c>
      <x:c r="I536" s="76" t="n">
        <x:f>G536*H536</x:f>
        <x:v>2091.6</x:v>
      </x:c>
      <x:c r="J536" s="76" t="n">
        <x:f>IFERROR(INDEX('Inventory'!$E$2:$E$71,MATCH(E536,'Inventory'!$A$2:$A$71,0)),0)</x:f>
        <x:v>6374</x:v>
      </x:c>
      <x:c r="K536" s="76" t="n">
        <x:f>IFERROR(INDEX('Inventory'!$F$2:$F$71,MATCH(E536,'Inventory'!$A$2:$A$71,0)),0)</x:f>
        <x:v>949</x:v>
      </x:c>
      <x:c r="L536" s="76" t="n">
        <x:f>SUMIFS('Open_POs'!$D$2:$D$26,'Open_POs'!$B$2:$B$26,E536,'Open_POs'!$E$2:$E$26,"&lt;="&amp;B536)</x:f>
        <x:v>1000</x:v>
      </x:c>
      <x:c r="M536" s="76" t="n">
        <x:f>J536+L536</x:f>
        <x:v>7374</x:v>
      </x:c>
      <x:c r="N536" s="76" t="n">
        <x:f>SUMIFS($I$2:I536,$E$2:E536,E536)</x:f>
        <x:v>20431.999999999996</x:v>
      </x:c>
      <x:c r="O536" s="76" t="n">
        <x:f>M536-N536</x:f>
        <x:v>-13057.999999999996</x:v>
      </x:c>
      <x:c r="P536" s="71" t="str">
        <x:f>IF(O536&lt;0,"SHORT",IF(O536&lt;K536,"BELOW TARGET","COVERED"))</x:f>
        <x:v>SHORT</x:v>
      </x:c>
      <x:c r="Q536" s="63" t="str">
        <x:f>IF(AND(P536="SHORT",COUNTIFS($E$2:E536,E536,$P$2:P536,"SHORT")=1),B536,"")</x:f>
      </x:c>
    </x:row>
    <x:row r="537" ht="15" customHeight="1">
      <x:c r="A537" s="71" t="str">
        <x:v>SO-26004</x:v>
      </x:c>
      <x:c r="B537" s="75" t="n">
        <x:v>46290</x:v>
      </x:c>
      <x:c r="C537" s="71" t="str">
        <x:v>Normal</x:v>
      </x:c>
      <x:c r="D537" s="71" t="str">
        <x:v>FG-013</x:v>
      </x:c>
      <x:c r="E537" s="71" t="str">
        <x:v>RM-058</x:v>
      </x:c>
      <x:c r="F537" s="71" t="str">
        <x:v>Filler 058</x:v>
      </x:c>
      <x:c r="G537" s="76" t="n">
        <x:v>40</x:v>
      </x:c>
      <x:c r="H537" s="76" t="n">
        <x:v>57.05</x:v>
      </x:c>
      <x:c r="I537" s="76" t="n">
        <x:f>G537*H537</x:f>
        <x:v>2282</x:v>
      </x:c>
      <x:c r="J537" s="76" t="n">
        <x:f>IFERROR(INDEX('Inventory'!$E$2:$E$71,MATCH(E537,'Inventory'!$A$2:$A$71,0)),0)</x:f>
        <x:v>9929</x:v>
      </x:c>
      <x:c r="K537" s="76" t="n">
        <x:f>IFERROR(INDEX('Inventory'!$F$2:$F$71,MATCH(E537,'Inventory'!$A$2:$A$71,0)),0)</x:f>
        <x:v>701</x:v>
      </x:c>
      <x:c r="L537" s="76" t="n">
        <x:f>SUMIFS('Open_POs'!$D$2:$D$26,'Open_POs'!$B$2:$B$26,E537,'Open_POs'!$E$2:$E$26,"&lt;="&amp;B537)</x:f>
        <x:v>0</x:v>
      </x:c>
      <x:c r="M537" s="76" t="n">
        <x:f>J537+L537</x:f>
        <x:v>9929</x:v>
      </x:c>
      <x:c r="N537" s="76" t="n">
        <x:f>SUMIFS($I$2:I537,$E$2:E537,E537)</x:f>
        <x:v>65331.50000000001</x:v>
      </x:c>
      <x:c r="O537" s="76" t="n">
        <x:f>M537-N537</x:f>
        <x:v>-55402.50000000001</x:v>
      </x:c>
      <x:c r="P537" s="71" t="str">
        <x:f>IF(O537&lt;0,"SHORT",IF(O537&lt;K537,"BELOW TARGET","COVERED"))</x:f>
        <x:v>SHORT</x:v>
      </x:c>
      <x:c r="Q537" s="63" t="str">
        <x:f>IF(AND(P537="SHORT",COUNTIFS($E$2:E537,E537,$P$2:P537,"SHORT")=1),B537,"")</x:f>
      </x:c>
    </x:row>
    <x:row r="538" ht="15" customHeight="1">
      <x:c r="A538" s="71" t="str">
        <x:v>SO-26056</x:v>
      </x:c>
      <x:c r="B538" s="75" t="n">
        <x:v>46291</x:v>
      </x:c>
      <x:c r="C538" s="71" t="str">
        <x:v>High</x:v>
      </x:c>
      <x:c r="D538" s="71" t="str">
        <x:v>FG-010</x:v>
      </x:c>
      <x:c r="E538" s="71" t="str">
        <x:v>RM-009</x:v>
      </x:c>
      <x:c r="F538" s="71" t="str">
        <x:v>Additive 009</x:v>
      </x:c>
      <x:c r="G538" s="76" t="n">
        <x:v>50</x:v>
      </x:c>
      <x:c r="H538" s="76" t="n">
        <x:v>81.38</x:v>
      </x:c>
      <x:c r="I538" s="76" t="n">
        <x:f>G538*H538</x:f>
        <x:v>4069</x:v>
      </x:c>
      <x:c r="J538" s="76" t="n">
        <x:f>IFERROR(INDEX('Inventory'!$E$2:$E$71,MATCH(E538,'Inventory'!$A$2:$A$71,0)),0)</x:f>
        <x:v>13813</x:v>
      </x:c>
      <x:c r="K538" s="76" t="n">
        <x:f>IFERROR(INDEX('Inventory'!$F$2:$F$71,MATCH(E538,'Inventory'!$A$2:$A$71,0)),0)</x:f>
        <x:v>1377</x:v>
      </x:c>
      <x:c r="L538" s="76" t="n">
        <x:f>SUMIFS('Open_POs'!$D$2:$D$26,'Open_POs'!$B$2:$B$26,E538,'Open_POs'!$E$2:$E$26,"&lt;="&amp;B538)</x:f>
        <x:v>0</x:v>
      </x:c>
      <x:c r="M538" s="76" t="n">
        <x:f>J538+L538</x:f>
        <x:v>13813</x:v>
      </x:c>
      <x:c r="N538" s="76" t="n">
        <x:f>SUMIFS($I$2:I538,$E$2:E538,E538)</x:f>
        <x:v>58217.3</x:v>
      </x:c>
      <x:c r="O538" s="76" t="n">
        <x:f>M538-N538</x:f>
        <x:v>-44404.3</x:v>
      </x:c>
      <x:c r="P538" s="71" t="str">
        <x:f>IF(O538&lt;0,"SHORT",IF(O538&lt;K538,"BELOW TARGET","COVERED"))</x:f>
        <x:v>SHORT</x:v>
      </x:c>
      <x:c r="Q538" s="63" t="str">
        <x:f>IF(AND(P538="SHORT",COUNTIFS($E$2:E538,E538,$P$2:P538,"SHORT")=1),B538,"")</x:f>
      </x:c>
    </x:row>
    <x:row r="539" ht="15" customHeight="1">
      <x:c r="A539" s="71" t="str">
        <x:v>SO-26056</x:v>
      </x:c>
      <x:c r="B539" s="75" t="n">
        <x:v>46291</x:v>
      </x:c>
      <x:c r="C539" s="71" t="str">
        <x:v>High</x:v>
      </x:c>
      <x:c r="D539" s="71" t="str">
        <x:v>FG-010</x:v>
      </x:c>
      <x:c r="E539" s="71" t="str">
        <x:v>RM-011</x:v>
      </x:c>
      <x:c r="F539" s="71" t="str">
        <x:v>Resin 011</x:v>
      </x:c>
      <x:c r="G539" s="76" t="n">
        <x:v>50</x:v>
      </x:c>
      <x:c r="H539" s="76" t="n">
        <x:v>64.9</x:v>
      </x:c>
      <x:c r="I539" s="76" t="n">
        <x:f>G539*H539</x:f>
        <x:v>3245.0000000000005</x:v>
      </x:c>
      <x:c r="J539" s="76" t="n">
        <x:f>IFERROR(INDEX('Inventory'!$E$2:$E$71,MATCH(E539,'Inventory'!$A$2:$A$71,0)),0)</x:f>
        <x:v>16410</x:v>
      </x:c>
      <x:c r="K539" s="76" t="n">
        <x:f>IFERROR(INDEX('Inventory'!$F$2:$F$71,MATCH(E539,'Inventory'!$A$2:$A$71,0)),0)</x:f>
        <x:v>1275</x:v>
      </x:c>
      <x:c r="L539" s="76" t="n">
        <x:f>SUMIFS('Open_POs'!$D$2:$D$26,'Open_POs'!$B$2:$B$26,E539,'Open_POs'!$E$2:$E$26,"&lt;="&amp;B539)</x:f>
        <x:v>0</x:v>
      </x:c>
      <x:c r="M539" s="76" t="n">
        <x:f>J539+L539</x:f>
        <x:v>16410</x:v>
      </x:c>
      <x:c r="N539" s="76" t="n">
        <x:f>SUMIFS($I$2:I539,$E$2:E539,E539)</x:f>
        <x:v>32031.6</x:v>
      </x:c>
      <x:c r="O539" s="76" t="n">
        <x:f>M539-N539</x:f>
        <x:v>-15621.599999999999</x:v>
      </x:c>
      <x:c r="P539" s="71" t="str">
        <x:f>IF(O539&lt;0,"SHORT",IF(O539&lt;K539,"BELOW TARGET","COVERED"))</x:f>
        <x:v>SHORT</x:v>
      </x:c>
      <x:c r="Q539" s="63" t="str">
        <x:f>IF(AND(P539="SHORT",COUNTIFS($E$2:E539,E539,$P$2:P539,"SHORT")=1),B539,"")</x:f>
      </x:c>
    </x:row>
    <x:row r="540" ht="15" customHeight="1">
      <x:c r="A540" s="71" t="str">
        <x:v>SO-26056</x:v>
      </x:c>
      <x:c r="B540" s="75" t="n">
        <x:v>46291</x:v>
      </x:c>
      <x:c r="C540" s="71" t="str">
        <x:v>High</x:v>
      </x:c>
      <x:c r="D540" s="71" t="str">
        <x:v>FG-010</x:v>
      </x:c>
      <x:c r="E540" s="71" t="str">
        <x:v>RM-039</x:v>
      </x:c>
      <x:c r="F540" s="71" t="str">
        <x:v>Additive 039</x:v>
      </x:c>
      <x:c r="G540" s="76" t="n">
        <x:v>50</x:v>
      </x:c>
      <x:c r="H540" s="76" t="n">
        <x:v>103.36</x:v>
      </x:c>
      <x:c r="I540" s="76" t="n">
        <x:f>G540*H540</x:f>
        <x:v>5168</x:v>
      </x:c>
      <x:c r="J540" s="76" t="n">
        <x:f>IFERROR(INDEX('Inventory'!$E$2:$E$71,MATCH(E540,'Inventory'!$A$2:$A$71,0)),0)</x:f>
        <x:v>15593</x:v>
      </x:c>
      <x:c r="K540" s="76" t="n">
        <x:f>IFERROR(INDEX('Inventory'!$F$2:$F$71,MATCH(E540,'Inventory'!$A$2:$A$71,0)),0)</x:f>
        <x:v>1243</x:v>
      </x:c>
      <x:c r="L540" s="76" t="n">
        <x:f>SUMIFS('Open_POs'!$D$2:$D$26,'Open_POs'!$B$2:$B$26,E540,'Open_POs'!$E$2:$E$26,"&lt;="&amp;B540)</x:f>
        <x:v>0</x:v>
      </x:c>
      <x:c r="M540" s="76" t="n">
        <x:f>J540+L540</x:f>
        <x:v>15593</x:v>
      </x:c>
      <x:c r="N540" s="76" t="n">
        <x:f>SUMIFS($I$2:I540,$E$2:E540,E540)</x:f>
        <x:v>53295.79999999999</x:v>
      </x:c>
      <x:c r="O540" s="76" t="n">
        <x:f>M540-N540</x:f>
        <x:v>-37702.79999999999</x:v>
      </x:c>
      <x:c r="P540" s="71" t="str">
        <x:f>IF(O540&lt;0,"SHORT",IF(O540&lt;K540,"BELOW TARGET","COVERED"))</x:f>
        <x:v>SHORT</x:v>
      </x:c>
      <x:c r="Q540" s="63" t="str">
        <x:f>IF(AND(P540="SHORT",COUNTIFS($E$2:E540,E540,$P$2:P540,"SHORT")=1),B540,"")</x:f>
      </x:c>
    </x:row>
    <x:row r="541" ht="15" customHeight="1">
      <x:c r="A541" s="71" t="str">
        <x:v>SO-26056</x:v>
      </x:c>
      <x:c r="B541" s="75" t="n">
        <x:v>46291</x:v>
      </x:c>
      <x:c r="C541" s="71" t="str">
        <x:v>High</x:v>
      </x:c>
      <x:c r="D541" s="71" t="str">
        <x:v>FG-010</x:v>
      </x:c>
      <x:c r="E541" s="71" t="str">
        <x:v>RM-042</x:v>
      </x:c>
      <x:c r="F541" s="71" t="str">
        <x:v>Pigment 042</x:v>
      </x:c>
      <x:c r="G541" s="76" t="n">
        <x:v>50</x:v>
      </x:c>
      <x:c r="H541" s="76" t="n">
        <x:v>148.6</x:v>
      </x:c>
      <x:c r="I541" s="76" t="n">
        <x:f>G541*H541</x:f>
        <x:v>7430</x:v>
      </x:c>
      <x:c r="J541" s="76" t="n">
        <x:f>IFERROR(INDEX('Inventory'!$E$2:$E$71,MATCH(E541,'Inventory'!$A$2:$A$71,0)),0)</x:f>
        <x:v>14280</x:v>
      </x:c>
      <x:c r="K541" s="76" t="n">
        <x:f>IFERROR(INDEX('Inventory'!$F$2:$F$71,MATCH(E541,'Inventory'!$A$2:$A$71,0)),0)</x:f>
        <x:v>553</x:v>
      </x:c>
      <x:c r="L541" s="76" t="n">
        <x:f>SUMIFS('Open_POs'!$D$2:$D$26,'Open_POs'!$B$2:$B$26,E541,'Open_POs'!$E$2:$E$26,"&lt;="&amp;B541)</x:f>
        <x:v>0</x:v>
      </x:c>
      <x:c r="M541" s="76" t="n">
        <x:f>J541+L541</x:f>
        <x:v>14280</x:v>
      </x:c>
      <x:c r="N541" s="76" t="n">
        <x:f>SUMIFS($I$2:I541,$E$2:E541,E541)</x:f>
        <x:v>40122</x:v>
      </x:c>
      <x:c r="O541" s="76" t="n">
        <x:f>M541-N541</x:f>
        <x:v>-25842</x:v>
      </x:c>
      <x:c r="P541" s="71" t="str">
        <x:f>IF(O541&lt;0,"SHORT",IF(O541&lt;K541,"BELOW TARGET","COVERED"))</x:f>
        <x:v>SHORT</x:v>
      </x:c>
      <x:c r="Q541" s="63" t="str">
        <x:f>IF(AND(P541="SHORT",COUNTIFS($E$2:E541,E541,$P$2:P541,"SHORT")=1),B541,"")</x:f>
      </x:c>
    </x:row>
    <x:row r="542" ht="15" customHeight="1">
      <x:c r="A542" s="71" t="str">
        <x:v>SO-26056</x:v>
      </x:c>
      <x:c r="B542" s="75" t="n">
        <x:v>46291</x:v>
      </x:c>
      <x:c r="C542" s="71" t="str">
        <x:v>High</x:v>
      </x:c>
      <x:c r="D542" s="71" t="str">
        <x:v>FG-010</x:v>
      </x:c>
      <x:c r="E542" s="71" t="str">
        <x:v>RM-053</x:v>
      </x:c>
      <x:c r="F542" s="71" t="str">
        <x:v>Filler 053</x:v>
      </x:c>
      <x:c r="G542" s="76" t="n">
        <x:v>50</x:v>
      </x:c>
      <x:c r="H542" s="76" t="n">
        <x:v>62.69</x:v>
      </x:c>
      <x:c r="I542" s="76" t="n">
        <x:f>G542*H542</x:f>
        <x:v>3134.5</x:v>
      </x:c>
      <x:c r="J542" s="76" t="n">
        <x:f>IFERROR(INDEX('Inventory'!$E$2:$E$71,MATCH(E542,'Inventory'!$A$2:$A$71,0)),0)</x:f>
        <x:v>3714</x:v>
      </x:c>
      <x:c r="K542" s="76" t="n">
        <x:f>IFERROR(INDEX('Inventory'!$F$2:$F$71,MATCH(E542,'Inventory'!$A$2:$A$71,0)),0)</x:f>
        <x:v>773</x:v>
      </x:c>
      <x:c r="L542" s="76" t="n">
        <x:f>SUMIFS('Open_POs'!$D$2:$D$26,'Open_POs'!$B$2:$B$26,E542,'Open_POs'!$E$2:$E$26,"&lt;="&amp;B542)</x:f>
        <x:v>0</x:v>
      </x:c>
      <x:c r="M542" s="76" t="n">
        <x:f>J542+L542</x:f>
        <x:v>3714</x:v>
      </x:c>
      <x:c r="N542" s="76" t="n">
        <x:f>SUMIFS($I$2:I542,$E$2:E542,E542)</x:f>
        <x:v>31275.200000000004</x:v>
      </x:c>
      <x:c r="O542" s="76" t="n">
        <x:f>M542-N542</x:f>
        <x:v>-27561.200000000004</x:v>
      </x:c>
      <x:c r="P542" s="71" t="str">
        <x:f>IF(O542&lt;0,"SHORT",IF(O542&lt;K542,"BELOW TARGET","COVERED"))</x:f>
        <x:v>SHORT</x:v>
      </x:c>
      <x:c r="Q542" s="63" t="str">
        <x:f>IF(AND(P542="SHORT",COUNTIFS($E$2:E542,E542,$P$2:P542,"SHORT")=1),B542,"")</x:f>
      </x:c>
    </x:row>
    <x:row r="543" ht="15" customHeight="1">
      <x:c r="A543" s="71" t="str">
        <x:v>SO-26056</x:v>
      </x:c>
      <x:c r="B543" s="75" t="n">
        <x:v>46291</x:v>
      </x:c>
      <x:c r="C543" s="71" t="str">
        <x:v>High</x:v>
      </x:c>
      <x:c r="D543" s="71" t="str">
        <x:v>FG-010</x:v>
      </x:c>
      <x:c r="E543" s="71" t="str">
        <x:v>RM-055</x:v>
      </x:c>
      <x:c r="F543" s="71" t="str">
        <x:v>Packaging 055</x:v>
      </x:c>
      <x:c r="G543" s="76" t="n">
        <x:v>50</x:v>
      </x:c>
      <x:c r="H543" s="76" t="n">
        <x:v>29.99</x:v>
      </x:c>
      <x:c r="I543" s="76" t="n">
        <x:f>G543*H543</x:f>
        <x:v>1499.5</x:v>
      </x:c>
      <x:c r="J543" s="76" t="n">
        <x:f>IFERROR(INDEX('Inventory'!$E$2:$E$71,MATCH(E543,'Inventory'!$A$2:$A$71,0)),0)</x:f>
        <x:v>6551</x:v>
      </x:c>
      <x:c r="K543" s="76" t="n">
        <x:f>IFERROR(INDEX('Inventory'!$F$2:$F$71,MATCH(E543,'Inventory'!$A$2:$A$71,0)),0)</x:f>
        <x:v>738</x:v>
      </x:c>
      <x:c r="L543" s="76" t="n">
        <x:f>SUMIFS('Open_POs'!$D$2:$D$26,'Open_POs'!$B$2:$B$26,E543,'Open_POs'!$E$2:$E$26,"&lt;="&amp;B543)</x:f>
        <x:v>5000</x:v>
      </x:c>
      <x:c r="M543" s="76" t="n">
        <x:f>J543+L543</x:f>
        <x:v>11551</x:v>
      </x:c>
      <x:c r="N543" s="76" t="n">
        <x:f>SUMIFS($I$2:I543,$E$2:E543,E543)</x:f>
        <x:v>8097.299999999999</x:v>
      </x:c>
      <x:c r="O543" s="76" t="n">
        <x:f>M543-N543</x:f>
        <x:v>3453.7000000000007</x:v>
      </x:c>
      <x:c r="P543" s="71" t="str">
        <x:f>IF(O543&lt;0,"SHORT",IF(O543&lt;K543,"BELOW TARGET","COVERED"))</x:f>
        <x:v>COVERED</x:v>
      </x:c>
      <x:c r="Q543" s="63" t="str">
        <x:f>IF(AND(P543="SHORT",COUNTIFS($E$2:E543,E543,$P$2:P543,"SHORT")=1),B543,"")</x:f>
      </x:c>
    </x:row>
    <x:row r="544" ht="15" customHeight="1">
      <x:c r="A544" s="71" t="str">
        <x:v>SO-26056</x:v>
      </x:c>
      <x:c r="B544" s="75" t="n">
        <x:v>46291</x:v>
      </x:c>
      <x:c r="C544" s="71" t="str">
        <x:v>High</x:v>
      </x:c>
      <x:c r="D544" s="71" t="str">
        <x:v>FG-010</x:v>
      </x:c>
      <x:c r="E544" s="71" t="str">
        <x:v>RM-059</x:v>
      </x:c>
      <x:c r="F544" s="71" t="str">
        <x:v>Additive 059</x:v>
      </x:c>
      <x:c r="G544" s="76" t="n">
        <x:v>50</x:v>
      </x:c>
      <x:c r="H544" s="76" t="n">
        <x:v>109.43</x:v>
      </x:c>
      <x:c r="I544" s="76" t="n">
        <x:f>G544*H544</x:f>
        <x:v>5471.5</x:v>
      </x:c>
      <x:c r="J544" s="76" t="n">
        <x:f>IFERROR(INDEX('Inventory'!$E$2:$E$71,MATCH(E544,'Inventory'!$A$2:$A$71,0)),0)</x:f>
        <x:v>10488</x:v>
      </x:c>
      <x:c r="K544" s="76" t="n">
        <x:f>IFERROR(INDEX('Inventory'!$F$2:$F$71,MATCH(E544,'Inventory'!$A$2:$A$71,0)),0)</x:f>
        <x:v>1442</x:v>
      </x:c>
      <x:c r="L544" s="76" t="n">
        <x:f>SUMIFS('Open_POs'!$D$2:$D$26,'Open_POs'!$B$2:$B$26,E544,'Open_POs'!$E$2:$E$26,"&lt;="&amp;B544)</x:f>
        <x:v>5000</x:v>
      </x:c>
      <x:c r="M544" s="76" t="n">
        <x:f>J544+L544</x:f>
        <x:v>15488</x:v>
      </x:c>
      <x:c r="N544" s="76" t="n">
        <x:f>SUMIFS($I$2:I544,$E$2:E544,E544)</x:f>
        <x:v>55136.100000000006</x:v>
      </x:c>
      <x:c r="O544" s="76" t="n">
        <x:f>M544-N544</x:f>
        <x:v>-39648.100000000006</x:v>
      </x:c>
      <x:c r="P544" s="71" t="str">
        <x:f>IF(O544&lt;0,"SHORT",IF(O544&lt;K544,"BELOW TARGET","COVERED"))</x:f>
        <x:v>SHORT</x:v>
      </x:c>
      <x:c r="Q544" s="63" t="str">
        <x:f>IF(AND(P544="SHORT",COUNTIFS($E$2:E544,E544,$P$2:P544,"SHORT")=1),B544,"")</x:f>
      </x:c>
    </x:row>
    <x:row r="545" ht="15" customHeight="1">
      <x:c r="A545" s="71" t="str">
        <x:v>SO-26056</x:v>
      </x:c>
      <x:c r="B545" s="75" t="n">
        <x:v>46291</x:v>
      </x:c>
      <x:c r="C545" s="71" t="str">
        <x:v>High</x:v>
      </x:c>
      <x:c r="D545" s="71" t="str">
        <x:v>FG-010</x:v>
      </x:c>
      <x:c r="E545" s="71" t="str">
        <x:v>RM-063</x:v>
      </x:c>
      <x:c r="F545" s="71" t="str">
        <x:v>Filler 063</x:v>
      </x:c>
      <x:c r="G545" s="76" t="n">
        <x:v>50</x:v>
      </x:c>
      <x:c r="H545" s="76" t="n">
        <x:v>72.93</x:v>
      </x:c>
      <x:c r="I545" s="76" t="n">
        <x:f>G545*H545</x:f>
        <x:v>3646.5000000000005</x:v>
      </x:c>
      <x:c r="J545" s="76" t="n">
        <x:f>IFERROR(INDEX('Inventory'!$E$2:$E$71,MATCH(E545,'Inventory'!$A$2:$A$71,0)),0)</x:f>
        <x:v>7508</x:v>
      </x:c>
      <x:c r="K545" s="76" t="n">
        <x:f>IFERROR(INDEX('Inventory'!$F$2:$F$71,MATCH(E545,'Inventory'!$A$2:$A$71,0)),0)</x:f>
        <x:v>1090</x:v>
      </x:c>
      <x:c r="L545" s="76" t="n">
        <x:f>SUMIFS('Open_POs'!$D$2:$D$26,'Open_POs'!$B$2:$B$26,E545,'Open_POs'!$E$2:$E$26,"&lt;="&amp;B545)</x:f>
        <x:v>5000</x:v>
      </x:c>
      <x:c r="M545" s="76" t="n">
        <x:f>J545+L545</x:f>
        <x:v>12508</x:v>
      </x:c>
      <x:c r="N545" s="76" t="n">
        <x:f>SUMIFS($I$2:I545,$E$2:E545,E545)</x:f>
        <x:v>84998.29999999999</x:v>
      </x:c>
      <x:c r="O545" s="76" t="n">
        <x:f>M545-N545</x:f>
        <x:v>-72490.29999999999</x:v>
      </x:c>
      <x:c r="P545" s="71" t="str">
        <x:f>IF(O545&lt;0,"SHORT",IF(O545&lt;K545,"BELOW TARGET","COVERED"))</x:f>
        <x:v>SHORT</x:v>
      </x:c>
      <x:c r="Q545" s="63" t="str">
        <x:f>IF(AND(P545="SHORT",COUNTIFS($E$2:E545,E545,$P$2:P545,"SHORT")=1),B545,"")</x:f>
      </x:c>
    </x:row>
    <x:row r="546" ht="15" customHeight="1">
      <x:c r="A546" s="71" t="str">
        <x:v>SO-26074</x:v>
      </x:c>
      <x:c r="B546" s="75" t="n">
        <x:v>46291</x:v>
      </x:c>
      <x:c r="C546" s="71" t="str">
        <x:v>Normal</x:v>
      </x:c>
      <x:c r="D546" s="71" t="str">
        <x:v>FG-020</x:v>
      </x:c>
      <x:c r="E546" s="71" t="str">
        <x:v>RM-004</x:v>
      </x:c>
      <x:c r="F546" s="71" t="str">
        <x:v>Additive 004</x:v>
      </x:c>
      <x:c r="G546" s="76" t="n">
        <x:v>80</x:v>
      </x:c>
      <x:c r="H546" s="76" t="n">
        <x:v>145.99</x:v>
      </x:c>
      <x:c r="I546" s="76" t="n">
        <x:f>G546*H546</x:f>
        <x:v>11679.2</x:v>
      </x:c>
      <x:c r="J546" s="76" t="n">
        <x:f>IFERROR(INDEX('Inventory'!$E$2:$E$71,MATCH(E546,'Inventory'!$A$2:$A$71,0)),0)</x:f>
        <x:v>11262</x:v>
      </x:c>
      <x:c r="K546" s="76" t="n">
        <x:f>IFERROR(INDEX('Inventory'!$F$2:$F$71,MATCH(E546,'Inventory'!$A$2:$A$71,0)),0)</x:f>
        <x:v>1178</x:v>
      </x:c>
      <x:c r="L546" s="76" t="n">
        <x:f>SUMIFS('Open_POs'!$D$2:$D$26,'Open_POs'!$B$2:$B$26,E546,'Open_POs'!$E$2:$E$26,"&lt;="&amp;B546)</x:f>
        <x:v>0</x:v>
      </x:c>
      <x:c r="M546" s="76" t="n">
        <x:f>J546+L546</x:f>
        <x:v>11262</x:v>
      </x:c>
      <x:c r="N546" s="76" t="n">
        <x:f>SUMIFS($I$2:I546,$E$2:E546,E546)</x:f>
        <x:v>18490.800000000003</x:v>
      </x:c>
      <x:c r="O546" s="76" t="n">
        <x:f>M546-N546</x:f>
        <x:v>-7228.800000000003</x:v>
      </x:c>
      <x:c r="P546" s="71" t="str">
        <x:f>IF(O546&lt;0,"SHORT",IF(O546&lt;K546,"BELOW TARGET","COVERED"))</x:f>
        <x:v>SHORT</x:v>
      </x:c>
      <x:c r="Q546" s="63" t="n">
        <x:f>IF(AND(P546="SHORT",COUNTIFS($E$2:E546,E546,$P$2:P546,"SHORT")=1),B546,"")</x:f>
        <x:v>46291</x:v>
      </x:c>
    </x:row>
    <x:row r="547" ht="15" customHeight="1">
      <x:c r="A547" s="71" t="str">
        <x:v>SO-26074</x:v>
      </x:c>
      <x:c r="B547" s="75" t="n">
        <x:v>46291</x:v>
      </x:c>
      <x:c r="C547" s="71" t="str">
        <x:v>Normal</x:v>
      </x:c>
      <x:c r="D547" s="71" t="str">
        <x:v>FG-020</x:v>
      </x:c>
      <x:c r="E547" s="71" t="str">
        <x:v>RM-011</x:v>
      </x:c>
      <x:c r="F547" s="71" t="str">
        <x:v>Resin 011</x:v>
      </x:c>
      <x:c r="G547" s="76" t="n">
        <x:v>80</x:v>
      </x:c>
      <x:c r="H547" s="76" t="n">
        <x:v>90.45</x:v>
      </x:c>
      <x:c r="I547" s="76" t="n">
        <x:f>G547*H547</x:f>
        <x:v>7236</x:v>
      </x:c>
      <x:c r="J547" s="76" t="n">
        <x:f>IFERROR(INDEX('Inventory'!$E$2:$E$71,MATCH(E547,'Inventory'!$A$2:$A$71,0)),0)</x:f>
        <x:v>16410</x:v>
      </x:c>
      <x:c r="K547" s="76" t="n">
        <x:f>IFERROR(INDEX('Inventory'!$F$2:$F$71,MATCH(E547,'Inventory'!$A$2:$A$71,0)),0)</x:f>
        <x:v>1275</x:v>
      </x:c>
      <x:c r="L547" s="76" t="n">
        <x:f>SUMIFS('Open_POs'!$D$2:$D$26,'Open_POs'!$B$2:$B$26,E547,'Open_POs'!$E$2:$E$26,"&lt;="&amp;B547)</x:f>
        <x:v>0</x:v>
      </x:c>
      <x:c r="M547" s="76" t="n">
        <x:f>J547+L547</x:f>
        <x:v>16410</x:v>
      </x:c>
      <x:c r="N547" s="76" t="n">
        <x:f>SUMIFS($I$2:I547,$E$2:E547,E547)</x:f>
        <x:v>39267.6</x:v>
      </x:c>
      <x:c r="O547" s="76" t="n">
        <x:f>M547-N547</x:f>
        <x:v>-22857.6</x:v>
      </x:c>
      <x:c r="P547" s="71" t="str">
        <x:f>IF(O547&lt;0,"SHORT",IF(O547&lt;K547,"BELOW TARGET","COVERED"))</x:f>
        <x:v>SHORT</x:v>
      </x:c>
      <x:c r="Q547" s="63" t="str">
        <x:f>IF(AND(P547="SHORT",COUNTIFS($E$2:E547,E547,$P$2:P547,"SHORT")=1),B547,"")</x:f>
      </x:c>
    </x:row>
    <x:row r="548" ht="15" customHeight="1">
      <x:c r="A548" s="71" t="str">
        <x:v>SO-26074</x:v>
      </x:c>
      <x:c r="B548" s="75" t="n">
        <x:v>46291</x:v>
      </x:c>
      <x:c r="C548" s="71" t="str">
        <x:v>Normal</x:v>
      </x:c>
      <x:c r="D548" s="71" t="str">
        <x:v>FG-020</x:v>
      </x:c>
      <x:c r="E548" s="71" t="str">
        <x:v>RM-026</x:v>
      </x:c>
      <x:c r="F548" s="71" t="str">
        <x:v>Resin 026</x:v>
      </x:c>
      <x:c r="G548" s="76" t="n">
        <x:v>80</x:v>
      </x:c>
      <x:c r="H548" s="76" t="n">
        <x:v>115.53</x:v>
      </x:c>
      <x:c r="I548" s="76" t="n">
        <x:f>G548*H548</x:f>
        <x:v>9242.4</x:v>
      </x:c>
      <x:c r="J548" s="76" t="n">
        <x:f>IFERROR(INDEX('Inventory'!$E$2:$E$71,MATCH(E548,'Inventory'!$A$2:$A$71,0)),0)</x:f>
        <x:v>1771</x:v>
      </x:c>
      <x:c r="K548" s="76" t="n">
        <x:f>IFERROR(INDEX('Inventory'!$F$2:$F$71,MATCH(E548,'Inventory'!$A$2:$A$71,0)),0)</x:f>
        <x:v>1475</x:v>
      </x:c>
      <x:c r="L548" s="76" t="n">
        <x:f>SUMIFS('Open_POs'!$D$2:$D$26,'Open_POs'!$B$2:$B$26,E548,'Open_POs'!$E$2:$E$26,"&lt;="&amp;B548)</x:f>
        <x:v>0</x:v>
      </x:c>
      <x:c r="M548" s="76" t="n">
        <x:f>J548+L548</x:f>
        <x:v>1771</x:v>
      </x:c>
      <x:c r="N548" s="76" t="n">
        <x:f>SUMIFS($I$2:I548,$E$2:E548,E548)</x:f>
        <x:v>21534.4</x:v>
      </x:c>
      <x:c r="O548" s="76" t="n">
        <x:f>M548-N548</x:f>
        <x:v>-19763.4</x:v>
      </x:c>
      <x:c r="P548" s="71" t="str">
        <x:f>IF(O548&lt;0,"SHORT",IF(O548&lt;K548,"BELOW TARGET","COVERED"))</x:f>
        <x:v>SHORT</x:v>
      </x:c>
      <x:c r="Q548" s="63" t="str">
        <x:f>IF(AND(P548="SHORT",COUNTIFS($E$2:E548,E548,$P$2:P548,"SHORT")=1),B548,"")</x:f>
      </x:c>
    </x:row>
    <x:row r="549" ht="15" customHeight="1">
      <x:c r="A549" s="71" t="str">
        <x:v>SO-26074</x:v>
      </x:c>
      <x:c r="B549" s="75" t="n">
        <x:v>46291</x:v>
      </x:c>
      <x:c r="C549" s="71" t="str">
        <x:v>Normal</x:v>
      </x:c>
      <x:c r="D549" s="71" t="str">
        <x:v>FG-020</x:v>
      </x:c>
      <x:c r="E549" s="71" t="str">
        <x:v>RM-048</x:v>
      </x:c>
      <x:c r="F549" s="71" t="str">
        <x:v>Filler 048</x:v>
      </x:c>
      <x:c r="G549" s="76" t="n">
        <x:v>80</x:v>
      </x:c>
      <x:c r="H549" s="76" t="n">
        <x:v>116.85</x:v>
      </x:c>
      <x:c r="I549" s="76" t="n">
        <x:f>G549*H549</x:f>
        <x:v>9348</x:v>
      </x:c>
      <x:c r="J549" s="76" t="n">
        <x:f>IFERROR(INDEX('Inventory'!$E$2:$E$71,MATCH(E549,'Inventory'!$A$2:$A$71,0)),0)</x:f>
        <x:v>637</x:v>
      </x:c>
      <x:c r="K549" s="76" t="n">
        <x:f>IFERROR(INDEX('Inventory'!$F$2:$F$71,MATCH(E549,'Inventory'!$A$2:$A$71,0)),0)</x:f>
        <x:v>888</x:v>
      </x:c>
      <x:c r="L549" s="76" t="n">
        <x:f>SUMIFS('Open_POs'!$D$2:$D$26,'Open_POs'!$B$2:$B$26,E549,'Open_POs'!$E$2:$E$26,"&lt;="&amp;B549)</x:f>
        <x:v>1000</x:v>
      </x:c>
      <x:c r="M549" s="76" t="n">
        <x:f>J549+L549</x:f>
        <x:v>1637</x:v>
      </x:c>
      <x:c r="N549" s="76" t="n">
        <x:f>SUMIFS($I$2:I549,$E$2:E549,E549)</x:f>
        <x:v>27085.1</x:v>
      </x:c>
      <x:c r="O549" s="76" t="n">
        <x:f>M549-N549</x:f>
        <x:v>-25448.1</x:v>
      </x:c>
      <x:c r="P549" s="71" t="str">
        <x:f>IF(O549&lt;0,"SHORT",IF(O549&lt;K549,"BELOW TARGET","COVERED"))</x:f>
        <x:v>SHORT</x:v>
      </x:c>
      <x:c r="Q549" s="63" t="str">
        <x:f>IF(AND(P549="SHORT",COUNTIFS($E$2:E549,E549,$P$2:P549,"SHORT")=1),B549,"")</x:f>
      </x:c>
    </x:row>
    <x:row r="550" ht="15" customHeight="1">
      <x:c r="A550" s="71" t="str">
        <x:v>SO-26074</x:v>
      </x:c>
      <x:c r="B550" s="75" t="n">
        <x:v>46291</x:v>
      </x:c>
      <x:c r="C550" s="71" t="str">
        <x:v>Normal</x:v>
      </x:c>
      <x:c r="D550" s="71" t="str">
        <x:v>FG-020</x:v>
      </x:c>
      <x:c r="E550" s="71" t="str">
        <x:v>RM-052</x:v>
      </x:c>
      <x:c r="F550" s="71" t="str">
        <x:v>Pigment 052</x:v>
      </x:c>
      <x:c r="G550" s="76" t="n">
        <x:v>80</x:v>
      </x:c>
      <x:c r="H550" s="76" t="n">
        <x:v>75.34</x:v>
      </x:c>
      <x:c r="I550" s="76" t="n">
        <x:f>G550*H550</x:f>
        <x:v>6027.200000000001</x:v>
      </x:c>
      <x:c r="J550" s="76" t="n">
        <x:f>IFERROR(INDEX('Inventory'!$E$2:$E$71,MATCH(E550,'Inventory'!$A$2:$A$71,0)),0)</x:f>
        <x:v>6374</x:v>
      </x:c>
      <x:c r="K550" s="76" t="n">
        <x:f>IFERROR(INDEX('Inventory'!$F$2:$F$71,MATCH(E550,'Inventory'!$A$2:$A$71,0)),0)</x:f>
        <x:v>949</x:v>
      </x:c>
      <x:c r="L550" s="76" t="n">
        <x:f>SUMIFS('Open_POs'!$D$2:$D$26,'Open_POs'!$B$2:$B$26,E550,'Open_POs'!$E$2:$E$26,"&lt;="&amp;B550)</x:f>
        <x:v>1000</x:v>
      </x:c>
      <x:c r="M550" s="76" t="n">
        <x:f>J550+L550</x:f>
        <x:v>7374</x:v>
      </x:c>
      <x:c r="N550" s="76" t="n">
        <x:f>SUMIFS($I$2:I550,$E$2:E550,E550)</x:f>
        <x:v>26459.199999999997</x:v>
      </x:c>
      <x:c r="O550" s="76" t="n">
        <x:f>M550-N550</x:f>
        <x:v>-19085.199999999997</x:v>
      </x:c>
      <x:c r="P550" s="71" t="str">
        <x:f>IF(O550&lt;0,"SHORT",IF(O550&lt;K550,"BELOW TARGET","COVERED"))</x:f>
        <x:v>SHORT</x:v>
      </x:c>
      <x:c r="Q550" s="63" t="str">
        <x:f>IF(AND(P550="SHORT",COUNTIFS($E$2:E550,E550,$P$2:P550,"SHORT")=1),B550,"")</x:f>
      </x:c>
    </x:row>
    <x:row r="551" ht="15" customHeight="1">
      <x:c r="A551" s="71" t="str">
        <x:v>SO-26074</x:v>
      </x:c>
      <x:c r="B551" s="75" t="n">
        <x:v>46291</x:v>
      </x:c>
      <x:c r="C551" s="71" t="str">
        <x:v>Normal</x:v>
      </x:c>
      <x:c r="D551" s="71" t="str">
        <x:v>FG-020</x:v>
      </x:c>
      <x:c r="E551" s="71" t="str">
        <x:v>RM-062</x:v>
      </x:c>
      <x:c r="F551" s="71" t="str">
        <x:v>Pigment 062</x:v>
      </x:c>
      <x:c r="G551" s="76" t="n">
        <x:v>80</x:v>
      </x:c>
      <x:c r="H551" s="76" t="n">
        <x:v>18.57</x:v>
      </x:c>
      <x:c r="I551" s="76" t="n">
        <x:f>G551*H551</x:f>
        <x:v>1485.6</x:v>
      </x:c>
      <x:c r="J551" s="76" t="n">
        <x:f>IFERROR(INDEX('Inventory'!$E$2:$E$71,MATCH(E551,'Inventory'!$A$2:$A$71,0)),0)</x:f>
        <x:v>7110</x:v>
      </x:c>
      <x:c r="K551" s="76" t="n">
        <x:f>IFERROR(INDEX('Inventory'!$F$2:$F$71,MATCH(E551,'Inventory'!$A$2:$A$71,0)),0)</x:f>
        <x:v>1339</x:v>
      </x:c>
      <x:c r="L551" s="76" t="n">
        <x:f>SUMIFS('Open_POs'!$D$2:$D$26,'Open_POs'!$B$2:$B$26,E551,'Open_POs'!$E$2:$E$26,"&lt;="&amp;B551)</x:f>
        <x:v>1000</x:v>
      </x:c>
      <x:c r="M551" s="76" t="n">
        <x:f>J551+L551</x:f>
        <x:v>8110</x:v>
      </x:c>
      <x:c r="N551" s="76" t="n">
        <x:f>SUMIFS($I$2:I551,$E$2:E551,E551)</x:f>
        <x:v>8322.3</x:v>
      </x:c>
      <x:c r="O551" s="76" t="n">
        <x:f>M551-N551</x:f>
        <x:v>-212.29999999999927</x:v>
      </x:c>
      <x:c r="P551" s="71" t="str">
        <x:f>IF(O551&lt;0,"SHORT",IF(O551&lt;K551,"BELOW TARGET","COVERED"))</x:f>
        <x:v>SHORT</x:v>
      </x:c>
      <x:c r="Q551" s="63" t="n">
        <x:f>IF(AND(P551="SHORT",COUNTIFS($E$2:E551,E551,$P$2:P551,"SHORT")=1),B551,"")</x:f>
        <x:v>46291</x:v>
      </x:c>
    </x:row>
    <x:row r="552" ht="15" customHeight="1">
      <x:c r="A552" s="71" t="str">
        <x:v>SO-26020</x:v>
      </x:c>
      <x:c r="B552" s="75" t="n">
        <x:v>46292</x:v>
      </x:c>
      <x:c r="C552" s="71" t="str">
        <x:v>Normal</x:v>
      </x:c>
      <x:c r="D552" s="71" t="str">
        <x:v>FG-006</x:v>
      </x:c>
      <x:c r="E552" s="71" t="str">
        <x:v>RM-021</x:v>
      </x:c>
      <x:c r="F552" s="71" t="str">
        <x:v>Resin 021</x:v>
      </x:c>
      <x:c r="G552" s="76" t="n">
        <x:v>80</x:v>
      </x:c>
      <x:c r="H552" s="76" t="n">
        <x:v>47.4</x:v>
      </x:c>
      <x:c r="I552" s="76" t="n">
        <x:f>G552*H552</x:f>
        <x:v>3792</x:v>
      </x:c>
      <x:c r="J552" s="76" t="n">
        <x:f>IFERROR(INDEX('Inventory'!$E$2:$E$71,MATCH(E552,'Inventory'!$A$2:$A$71,0)),0)</x:f>
        <x:v>8041</x:v>
      </x:c>
      <x:c r="K552" s="76" t="n">
        <x:f>IFERROR(INDEX('Inventory'!$F$2:$F$71,MATCH(E552,'Inventory'!$A$2:$A$71,0)),0)</x:f>
        <x:v>264</x:v>
      </x:c>
      <x:c r="L552" s="76" t="n">
        <x:f>SUMIFS('Open_POs'!$D$2:$D$26,'Open_POs'!$B$2:$B$26,E552,'Open_POs'!$E$2:$E$26,"&lt;="&amp;B552)</x:f>
        <x:v>0</x:v>
      </x:c>
      <x:c r="M552" s="76" t="n">
        <x:f>J552+L552</x:f>
        <x:v>8041</x:v>
      </x:c>
      <x:c r="N552" s="76" t="n">
        <x:f>SUMIFS($I$2:I552,$E$2:E552,E552)</x:f>
        <x:v>27798.1</x:v>
      </x:c>
      <x:c r="O552" s="76" t="n">
        <x:f>M552-N552</x:f>
        <x:v>-19757.1</x:v>
      </x:c>
      <x:c r="P552" s="71" t="str">
        <x:f>IF(O552&lt;0,"SHORT",IF(O552&lt;K552,"BELOW TARGET","COVERED"))</x:f>
        <x:v>SHORT</x:v>
      </x:c>
      <x:c r="Q552" s="63" t="str">
        <x:f>IF(AND(P552="SHORT",COUNTIFS($E$2:E552,E552,$P$2:P552,"SHORT")=1),B552,"")</x:f>
      </x:c>
    </x:row>
    <x:row r="553" ht="15" customHeight="1">
      <x:c r="A553" s="71" t="str">
        <x:v>SO-26020</x:v>
      </x:c>
      <x:c r="B553" s="75" t="n">
        <x:v>46292</x:v>
      </x:c>
      <x:c r="C553" s="71" t="str">
        <x:v>Normal</x:v>
      </x:c>
      <x:c r="D553" s="71" t="str">
        <x:v>FG-006</x:v>
      </x:c>
      <x:c r="E553" s="71" t="str">
        <x:v>RM-027</x:v>
      </x:c>
      <x:c r="F553" s="71" t="str">
        <x:v>Pigment 027</x:v>
      </x:c>
      <x:c r="G553" s="76" t="n">
        <x:v>80</x:v>
      </x:c>
      <x:c r="H553" s="76" t="n">
        <x:v>47.98</x:v>
      </x:c>
      <x:c r="I553" s="76" t="n">
        <x:f>G553*H553</x:f>
        <x:v>3838.3999999999996</x:v>
      </x:c>
      <x:c r="J553" s="76" t="n">
        <x:f>IFERROR(INDEX('Inventory'!$E$2:$E$71,MATCH(E553,'Inventory'!$A$2:$A$71,0)),0)</x:f>
        <x:v>5600</x:v>
      </x:c>
      <x:c r="K553" s="76" t="n">
        <x:f>IFERROR(INDEX('Inventory'!$F$2:$F$71,MATCH(E553,'Inventory'!$A$2:$A$71,0)),0)</x:f>
        <x:v>267</x:v>
      </x:c>
      <x:c r="L553" s="76" t="n">
        <x:f>SUMIFS('Open_POs'!$D$2:$D$26,'Open_POs'!$B$2:$B$26,E553,'Open_POs'!$E$2:$E$26,"&lt;="&amp;B553)</x:f>
        <x:v>0</x:v>
      </x:c>
      <x:c r="M553" s="76" t="n">
        <x:f>J553+L553</x:f>
        <x:v>5600</x:v>
      </x:c>
      <x:c r="N553" s="76" t="n">
        <x:f>SUMIFS($I$2:I553,$E$2:E553,E553)</x:f>
        <x:v>28131.199999999997</x:v>
      </x:c>
      <x:c r="O553" s="76" t="n">
        <x:f>M553-N553</x:f>
        <x:v>-22531.199999999997</x:v>
      </x:c>
      <x:c r="P553" s="71" t="str">
        <x:f>IF(O553&lt;0,"SHORT",IF(O553&lt;K553,"BELOW TARGET","COVERED"))</x:f>
        <x:v>SHORT</x:v>
      </x:c>
      <x:c r="Q553" s="63" t="str">
        <x:f>IF(AND(P553="SHORT",COUNTIFS($E$2:E553,E553,$P$2:P553,"SHORT")=1),B553,"")</x:f>
      </x:c>
    </x:row>
    <x:row r="554" ht="15" customHeight="1">
      <x:c r="A554" s="71" t="str">
        <x:v>SO-26020</x:v>
      </x:c>
      <x:c r="B554" s="75" t="n">
        <x:v>46292</x:v>
      </x:c>
      <x:c r="C554" s="71" t="str">
        <x:v>Normal</x:v>
      </x:c>
      <x:c r="D554" s="71" t="str">
        <x:v>FG-006</x:v>
      </x:c>
      <x:c r="E554" s="71" t="str">
        <x:v>RM-030</x:v>
      </x:c>
      <x:c r="F554" s="71" t="str">
        <x:v>Packaging 030</x:v>
      </x:c>
      <x:c r="G554" s="76" t="n">
        <x:v>80</x:v>
      </x:c>
      <x:c r="H554" s="76" t="n">
        <x:v>62.11</x:v>
      </x:c>
      <x:c r="I554" s="76" t="n">
        <x:f>G554*H554</x:f>
        <x:v>4968.8</x:v>
      </x:c>
      <x:c r="J554" s="76" t="n">
        <x:f>IFERROR(INDEX('Inventory'!$E$2:$E$71,MATCH(E554,'Inventory'!$A$2:$A$71,0)),0)</x:f>
        <x:v>9755</x:v>
      </x:c>
      <x:c r="K554" s="76" t="n">
        <x:f>IFERROR(INDEX('Inventory'!$F$2:$F$71,MATCH(E554,'Inventory'!$A$2:$A$71,0)),0)</x:f>
        <x:v>696</x:v>
      </x:c>
      <x:c r="L554" s="76" t="n">
        <x:f>SUMIFS('Open_POs'!$D$2:$D$26,'Open_POs'!$B$2:$B$26,E554,'Open_POs'!$E$2:$E$26,"&lt;="&amp;B554)</x:f>
        <x:v>2500</x:v>
      </x:c>
      <x:c r="M554" s="76" t="n">
        <x:f>J554+L554</x:f>
        <x:v>12255</x:v>
      </x:c>
      <x:c r="N554" s="76" t="n">
        <x:f>SUMIFS($I$2:I554,$E$2:E554,E554)</x:f>
        <x:v>23601.8</x:v>
      </x:c>
      <x:c r="O554" s="76" t="n">
        <x:f>M554-N554</x:f>
        <x:v>-11346.8</x:v>
      </x:c>
      <x:c r="P554" s="71" t="str">
        <x:f>IF(O554&lt;0,"SHORT",IF(O554&lt;K554,"BELOW TARGET","COVERED"))</x:f>
        <x:v>SHORT</x:v>
      </x:c>
      <x:c r="Q554" s="63" t="str">
        <x:f>IF(AND(P554="SHORT",COUNTIFS($E$2:E554,E554,$P$2:P554,"SHORT")=1),B554,"")</x:f>
      </x:c>
    </x:row>
    <x:row r="555" ht="15" customHeight="1">
      <x:c r="A555" s="71" t="str">
        <x:v>SO-26020</x:v>
      </x:c>
      <x:c r="B555" s="75" t="n">
        <x:v>46292</x:v>
      </x:c>
      <x:c r="C555" s="71" t="str">
        <x:v>Normal</x:v>
      </x:c>
      <x:c r="D555" s="71" t="str">
        <x:v>FG-006</x:v>
      </x:c>
      <x:c r="E555" s="71" t="str">
        <x:v>RM-036</x:v>
      </x:c>
      <x:c r="F555" s="71" t="str">
        <x:v>Resin 036</x:v>
      </x:c>
      <x:c r="G555" s="76" t="n">
        <x:v>80</x:v>
      </x:c>
      <x:c r="H555" s="76" t="n">
        <x:v>70.07</x:v>
      </x:c>
      <x:c r="I555" s="76" t="n">
        <x:f>G555*H555</x:f>
        <x:v>5605.599999999999</x:v>
      </x:c>
      <x:c r="J555" s="76" t="n">
        <x:f>IFERROR(INDEX('Inventory'!$E$2:$E$71,MATCH(E555,'Inventory'!$A$2:$A$71,0)),0)</x:f>
        <x:v>12427</x:v>
      </x:c>
      <x:c r="K555" s="76" t="n">
        <x:f>IFERROR(INDEX('Inventory'!$F$2:$F$71,MATCH(E555,'Inventory'!$A$2:$A$71,0)),0)</x:f>
        <x:v>1016</x:v>
      </x:c>
      <x:c r="L555" s="76" t="n">
        <x:f>SUMIFS('Open_POs'!$D$2:$D$26,'Open_POs'!$B$2:$B$26,E555,'Open_POs'!$E$2:$E$26,"&lt;="&amp;B555)</x:f>
        <x:v>1000</x:v>
      </x:c>
      <x:c r="M555" s="76" t="n">
        <x:f>J555+L555</x:f>
        <x:v>13427</x:v>
      </x:c>
      <x:c r="N555" s="76" t="n">
        <x:f>SUMIFS($I$2:I555,$E$2:E555,E555)</x:f>
        <x:v>55241</x:v>
      </x:c>
      <x:c r="O555" s="76" t="n">
        <x:f>M555-N555</x:f>
        <x:v>-41814</x:v>
      </x:c>
      <x:c r="P555" s="71" t="str">
        <x:f>IF(O555&lt;0,"SHORT",IF(O555&lt;K555,"BELOW TARGET","COVERED"))</x:f>
        <x:v>SHORT</x:v>
      </x:c>
      <x:c r="Q555" s="63" t="str">
        <x:f>IF(AND(P555="SHORT",COUNTIFS($E$2:E555,E555,$P$2:P555,"SHORT")=1),B555,"")</x:f>
      </x:c>
    </x:row>
    <x:row r="556" ht="15" customHeight="1">
      <x:c r="A556" s="71" t="str">
        <x:v>SO-26020</x:v>
      </x:c>
      <x:c r="B556" s="75" t="n">
        <x:v>46292</x:v>
      </x:c>
      <x:c r="C556" s="71" t="str">
        <x:v>Normal</x:v>
      </x:c>
      <x:c r="D556" s="71" t="str">
        <x:v>FG-006</x:v>
      </x:c>
      <x:c r="E556" s="71" t="str">
        <x:v>RM-044</x:v>
      </x:c>
      <x:c r="F556" s="71" t="str">
        <x:v>Additive 044</x:v>
      </x:c>
      <x:c r="G556" s="76" t="n">
        <x:v>80</x:v>
      </x:c>
      <x:c r="H556" s="76" t="n">
        <x:v>26.77</x:v>
      </x:c>
      <x:c r="I556" s="76" t="n">
        <x:f>G556*H556</x:f>
        <x:v>2141.6</x:v>
      </x:c>
      <x:c r="J556" s="76" t="n">
        <x:f>IFERROR(INDEX('Inventory'!$E$2:$E$71,MATCH(E556,'Inventory'!$A$2:$A$71,0)),0)</x:f>
        <x:v>10361</x:v>
      </x:c>
      <x:c r="K556" s="76" t="n">
        <x:f>IFERROR(INDEX('Inventory'!$F$2:$F$71,MATCH(E556,'Inventory'!$A$2:$A$71,0)),0)</x:f>
        <x:v>571</x:v>
      </x:c>
      <x:c r="L556" s="76" t="n">
        <x:f>SUMIFS('Open_POs'!$D$2:$D$26,'Open_POs'!$B$2:$B$26,E556,'Open_POs'!$E$2:$E$26,"&lt;="&amp;B556)</x:f>
        <x:v>0</x:v>
      </x:c>
      <x:c r="M556" s="76" t="n">
        <x:f>J556+L556</x:f>
        <x:v>10361</x:v>
      </x:c>
      <x:c r="N556" s="76" t="n">
        <x:f>SUMIFS($I$2:I556,$E$2:E556,E556)</x:f>
        <x:v>39790.6</x:v>
      </x:c>
      <x:c r="O556" s="76" t="n">
        <x:f>M556-N556</x:f>
        <x:v>-29429.6</x:v>
      </x:c>
      <x:c r="P556" s="71" t="str">
        <x:f>IF(O556&lt;0,"SHORT",IF(O556&lt;K556,"BELOW TARGET","COVERED"))</x:f>
        <x:v>SHORT</x:v>
      </x:c>
      <x:c r="Q556" s="63" t="str">
        <x:f>IF(AND(P556="SHORT",COUNTIFS($E$2:E556,E556,$P$2:P556,"SHORT")=1),B556,"")</x:f>
      </x:c>
    </x:row>
    <x:row r="557" ht="15" customHeight="1">
      <x:c r="A557" s="71" t="str">
        <x:v>SO-26020</x:v>
      </x:c>
      <x:c r="B557" s="75" t="n">
        <x:v>46292</x:v>
      </x:c>
      <x:c r="C557" s="71" t="str">
        <x:v>Normal</x:v>
      </x:c>
      <x:c r="D557" s="71" t="str">
        <x:v>FG-006</x:v>
      </x:c>
      <x:c r="E557" s="71" t="str">
        <x:v>RM-059</x:v>
      </x:c>
      <x:c r="F557" s="71" t="str">
        <x:v>Additive 059</x:v>
      </x:c>
      <x:c r="G557" s="76" t="n">
        <x:v>80</x:v>
      </x:c>
      <x:c r="H557" s="76" t="n">
        <x:v>20.16</x:v>
      </x:c>
      <x:c r="I557" s="76" t="n">
        <x:f>G557*H557</x:f>
        <x:v>1612.8</x:v>
      </x:c>
      <x:c r="J557" s="76" t="n">
        <x:f>IFERROR(INDEX('Inventory'!$E$2:$E$71,MATCH(E557,'Inventory'!$A$2:$A$71,0)),0)</x:f>
        <x:v>10488</x:v>
      </x:c>
      <x:c r="K557" s="76" t="n">
        <x:f>IFERROR(INDEX('Inventory'!$F$2:$F$71,MATCH(E557,'Inventory'!$A$2:$A$71,0)),0)</x:f>
        <x:v>1442</x:v>
      </x:c>
      <x:c r="L557" s="76" t="n">
        <x:f>SUMIFS('Open_POs'!$D$2:$D$26,'Open_POs'!$B$2:$B$26,E557,'Open_POs'!$E$2:$E$26,"&lt;="&amp;B557)</x:f>
        <x:v>5000</x:v>
      </x:c>
      <x:c r="M557" s="76" t="n">
        <x:f>J557+L557</x:f>
        <x:v>15488</x:v>
      </x:c>
      <x:c r="N557" s="76" t="n">
        <x:f>SUMIFS($I$2:I557,$E$2:E557,E557)</x:f>
        <x:v>56748.90000000001</x:v>
      </x:c>
      <x:c r="O557" s="76" t="n">
        <x:f>M557-N557</x:f>
        <x:v>-41260.90000000001</x:v>
      </x:c>
      <x:c r="P557" s="71" t="str">
        <x:f>IF(O557&lt;0,"SHORT",IF(O557&lt;K557,"BELOW TARGET","COVERED"))</x:f>
        <x:v>SHORT</x:v>
      </x:c>
      <x:c r="Q557" s="63" t="str">
        <x:f>IF(AND(P557="SHORT",COUNTIFS($E$2:E557,E557,$P$2:P557,"SHORT")=1),B557,"")</x:f>
      </x:c>
    </x:row>
    <x:row r="558" ht="15" customHeight="1">
      <x:c r="A558" s="71" t="str">
        <x:v>SO-26038</x:v>
      </x:c>
      <x:c r="B558" s="75" t="n">
        <x:v>46292</x:v>
      </x:c>
      <x:c r="C558" s="71" t="str">
        <x:v>Normal</x:v>
      </x:c>
      <x:c r="D558" s="71" t="str">
        <x:v>FG-017</x:v>
      </x:c>
      <x:c r="E558" s="71" t="str">
        <x:v>RM-003</x:v>
      </x:c>
      <x:c r="F558" s="71" t="str">
        <x:v>Filler 003</x:v>
      </x:c>
      <x:c r="G558" s="76" t="n">
        <x:v>30</x:v>
      </x:c>
      <x:c r="H558" s="76" t="n">
        <x:v>60.21</x:v>
      </x:c>
      <x:c r="I558" s="76" t="n">
        <x:f>G558*H558</x:f>
        <x:v>1806.3</x:v>
      </x:c>
      <x:c r="J558" s="76" t="n">
        <x:f>IFERROR(INDEX('Inventory'!$E$2:$E$71,MATCH(E558,'Inventory'!$A$2:$A$71,0)),0)</x:f>
        <x:v>15564</x:v>
      </x:c>
      <x:c r="K558" s="76" t="n">
        <x:f>IFERROR(INDEX('Inventory'!$F$2:$F$71,MATCH(E558,'Inventory'!$A$2:$A$71,0)),0)</x:f>
        <x:v>174</x:v>
      </x:c>
      <x:c r="L558" s="76" t="n">
        <x:f>SUMIFS('Open_POs'!$D$2:$D$26,'Open_POs'!$B$2:$B$26,E558,'Open_POs'!$E$2:$E$26,"&lt;="&amp;B558)</x:f>
        <x:v>0</x:v>
      </x:c>
      <x:c r="M558" s="76" t="n">
        <x:f>J558+L558</x:f>
        <x:v>15564</x:v>
      </x:c>
      <x:c r="N558" s="76" t="n">
        <x:f>SUMIFS($I$2:I558,$E$2:E558,E558)</x:f>
        <x:v>15654.6</x:v>
      </x:c>
      <x:c r="O558" s="76" t="n">
        <x:f>M558-N558</x:f>
        <x:v>-90.60000000000036</x:v>
      </x:c>
      <x:c r="P558" s="71" t="str">
        <x:f>IF(O558&lt;0,"SHORT",IF(O558&lt;K558,"BELOW TARGET","COVERED"))</x:f>
        <x:v>SHORT</x:v>
      </x:c>
      <x:c r="Q558" s="63" t="n">
        <x:f>IF(AND(P558="SHORT",COUNTIFS($E$2:E558,E558,$P$2:P558,"SHORT")=1),B558,"")</x:f>
        <x:v>46292</x:v>
      </x:c>
    </x:row>
    <x:row r="559" ht="15" customHeight="1">
      <x:c r="A559" s="71" t="str">
        <x:v>SO-26038</x:v>
      </x:c>
      <x:c r="B559" s="75" t="n">
        <x:v>46292</x:v>
      </x:c>
      <x:c r="C559" s="71" t="str">
        <x:v>Normal</x:v>
      </x:c>
      <x:c r="D559" s="71" t="str">
        <x:v>FG-017</x:v>
      </x:c>
      <x:c r="E559" s="71" t="str">
        <x:v>RM-005</x:v>
      </x:c>
      <x:c r="F559" s="71" t="str">
        <x:v>Packaging 005</x:v>
      </x:c>
      <x:c r="G559" s="76" t="n">
        <x:v>30</x:v>
      </x:c>
      <x:c r="H559" s="76" t="n">
        <x:v>50.91</x:v>
      </x:c>
      <x:c r="I559" s="76" t="n">
        <x:f>G559*H559</x:f>
        <x:v>1527.3</x:v>
      </x:c>
      <x:c r="J559" s="76" t="n">
        <x:f>IFERROR(INDEX('Inventory'!$E$2:$E$71,MATCH(E559,'Inventory'!$A$2:$A$71,0)),0)</x:f>
        <x:v>8699</x:v>
      </x:c>
      <x:c r="K559" s="76" t="n">
        <x:f>IFERROR(INDEX('Inventory'!$F$2:$F$71,MATCH(E559,'Inventory'!$A$2:$A$71,0)),0)</x:f>
        <x:v>1174</x:v>
      </x:c>
      <x:c r="L559" s="76" t="n">
        <x:f>SUMIFS('Open_POs'!$D$2:$D$26,'Open_POs'!$B$2:$B$26,E559,'Open_POs'!$E$2:$E$26,"&lt;="&amp;B559)</x:f>
        <x:v>0</x:v>
      </x:c>
      <x:c r="M559" s="76" t="n">
        <x:f>J559+L559</x:f>
        <x:v>8699</x:v>
      </x:c>
      <x:c r="N559" s="76" t="n">
        <x:f>SUMIFS($I$2:I559,$E$2:E559,E559)</x:f>
        <x:v>46027.09999999999</x:v>
      </x:c>
      <x:c r="O559" s="76" t="n">
        <x:f>M559-N559</x:f>
        <x:v>-37328.09999999999</x:v>
      </x:c>
      <x:c r="P559" s="71" t="str">
        <x:f>IF(O559&lt;0,"SHORT",IF(O559&lt;K559,"BELOW TARGET","COVERED"))</x:f>
        <x:v>SHORT</x:v>
      </x:c>
      <x:c r="Q559" s="63" t="str">
        <x:f>IF(AND(P559="SHORT",COUNTIFS($E$2:E559,E559,$P$2:P559,"SHORT")=1),B559,"")</x:f>
      </x:c>
    </x:row>
    <x:row r="560" ht="15" customHeight="1">
      <x:c r="A560" s="71" t="str">
        <x:v>SO-26038</x:v>
      </x:c>
      <x:c r="B560" s="75" t="n">
        <x:v>46292</x:v>
      </x:c>
      <x:c r="C560" s="71" t="str">
        <x:v>Normal</x:v>
      </x:c>
      <x:c r="D560" s="71" t="str">
        <x:v>FG-017</x:v>
      </x:c>
      <x:c r="E560" s="71" t="str">
        <x:v>RM-025</x:v>
      </x:c>
      <x:c r="F560" s="71" t="str">
        <x:v>Packaging 025</x:v>
      </x:c>
      <x:c r="G560" s="76" t="n">
        <x:v>30</x:v>
      </x:c>
      <x:c r="H560" s="76" t="n">
        <x:v>41.44</x:v>
      </x:c>
      <x:c r="I560" s="76" t="n">
        <x:f>G560*H560</x:f>
        <x:v>1243.1999999999998</x:v>
      </x:c>
      <x:c r="J560" s="76" t="n">
        <x:f>IFERROR(INDEX('Inventory'!$E$2:$E$71,MATCH(E560,'Inventory'!$A$2:$A$71,0)),0)</x:f>
        <x:v>2469</x:v>
      </x:c>
      <x:c r="K560" s="76" t="n">
        <x:f>IFERROR(INDEX('Inventory'!$F$2:$F$71,MATCH(E560,'Inventory'!$A$2:$A$71,0)),0)</x:f>
        <x:v>229</x:v>
      </x:c>
      <x:c r="L560" s="76" t="n">
        <x:f>SUMIFS('Open_POs'!$D$2:$D$26,'Open_POs'!$B$2:$B$26,E560,'Open_POs'!$E$2:$E$26,"&lt;="&amp;B560)</x:f>
        <x:v>10000</x:v>
      </x:c>
      <x:c r="M560" s="76" t="n">
        <x:f>J560+L560</x:f>
        <x:v>12469</x:v>
      </x:c>
      <x:c r="N560" s="76" t="n">
        <x:f>SUMIFS($I$2:I560,$E$2:E560,E560)</x:f>
        <x:v>48368.599999999984</x:v>
      </x:c>
      <x:c r="O560" s="76" t="n">
        <x:f>M560-N560</x:f>
        <x:v>-35899.599999999984</x:v>
      </x:c>
      <x:c r="P560" s="71" t="str">
        <x:f>IF(O560&lt;0,"SHORT",IF(O560&lt;K560,"BELOW TARGET","COVERED"))</x:f>
        <x:v>SHORT</x:v>
      </x:c>
      <x:c r="Q560" s="63" t="str">
        <x:f>IF(AND(P560="SHORT",COUNTIFS($E$2:E560,E560,$P$2:P560,"SHORT")=1),B560,"")</x:f>
      </x:c>
    </x:row>
    <x:row r="561" ht="15" customHeight="1">
      <x:c r="A561" s="71" t="str">
        <x:v>SO-26038</x:v>
      </x:c>
      <x:c r="B561" s="75" t="n">
        <x:v>46292</x:v>
      </x:c>
      <x:c r="C561" s="71" t="str">
        <x:v>Normal</x:v>
      </x:c>
      <x:c r="D561" s="71" t="str">
        <x:v>FG-017</x:v>
      </x:c>
      <x:c r="E561" s="71" t="str">
        <x:v>RM-041</x:v>
      </x:c>
      <x:c r="F561" s="71" t="str">
        <x:v>Resin 041</x:v>
      </x:c>
      <x:c r="G561" s="76" t="n">
        <x:v>30</x:v>
      </x:c>
      <x:c r="H561" s="76" t="n">
        <x:v>38.8</x:v>
      </x:c>
      <x:c r="I561" s="76" t="n">
        <x:f>G561*H561</x:f>
        <x:v>1164</x:v>
      </x:c>
      <x:c r="J561" s="76" t="n">
        <x:f>IFERROR(INDEX('Inventory'!$E$2:$E$71,MATCH(E561,'Inventory'!$A$2:$A$71,0)),0)</x:f>
        <x:v>4635</x:v>
      </x:c>
      <x:c r="K561" s="76" t="n">
        <x:f>IFERROR(INDEX('Inventory'!$F$2:$F$71,MATCH(E561,'Inventory'!$A$2:$A$71,0)),0)</x:f>
        <x:v>987</x:v>
      </x:c>
      <x:c r="L561" s="76" t="n">
        <x:f>SUMIFS('Open_POs'!$D$2:$D$26,'Open_POs'!$B$2:$B$26,E561,'Open_POs'!$E$2:$E$26,"&lt;="&amp;B561)</x:f>
        <x:v>0</x:v>
      </x:c>
      <x:c r="M561" s="76" t="n">
        <x:f>J561+L561</x:f>
        <x:v>4635</x:v>
      </x:c>
      <x:c r="N561" s="76" t="n">
        <x:f>SUMIFS($I$2:I561,$E$2:E561,E561)</x:f>
        <x:v>27828</x:v>
      </x:c>
      <x:c r="O561" s="76" t="n">
        <x:f>M561-N561</x:f>
        <x:v>-23193</x:v>
      </x:c>
      <x:c r="P561" s="71" t="str">
        <x:f>IF(O561&lt;0,"SHORT",IF(O561&lt;K561,"BELOW TARGET","COVERED"))</x:f>
        <x:v>SHORT</x:v>
      </x:c>
      <x:c r="Q561" s="63" t="str">
        <x:f>IF(AND(P561="SHORT",COUNTIFS($E$2:E561,E561,$P$2:P561,"SHORT")=1),B561,"")</x:f>
      </x:c>
    </x:row>
    <x:row r="562" ht="15" customHeight="1">
      <x:c r="A562" s="71" t="str">
        <x:v>SO-26038</x:v>
      </x:c>
      <x:c r="B562" s="75" t="n">
        <x:v>46292</x:v>
      </x:c>
      <x:c r="C562" s="71" t="str">
        <x:v>Normal</x:v>
      </x:c>
      <x:c r="D562" s="71" t="str">
        <x:v>FG-017</x:v>
      </x:c>
      <x:c r="E562" s="71" t="str">
        <x:v>RM-056</x:v>
      </x:c>
      <x:c r="F562" s="71" t="str">
        <x:v>Resin 056</x:v>
      </x:c>
      <x:c r="G562" s="76" t="n">
        <x:v>30</x:v>
      </x:c>
      <x:c r="H562" s="76" t="n">
        <x:v>73.02</x:v>
      </x:c>
      <x:c r="I562" s="76" t="n">
        <x:f>G562*H562</x:f>
        <x:v>2190.6</x:v>
      </x:c>
      <x:c r="J562" s="76" t="n">
        <x:f>IFERROR(INDEX('Inventory'!$E$2:$E$71,MATCH(E562,'Inventory'!$A$2:$A$71,0)),0)</x:f>
        <x:v>862</x:v>
      </x:c>
      <x:c r="K562" s="76" t="n">
        <x:f>IFERROR(INDEX('Inventory'!$F$2:$F$71,MATCH(E562,'Inventory'!$A$2:$A$71,0)),0)</x:f>
        <x:v>108</x:v>
      </x:c>
      <x:c r="L562" s="76" t="n">
        <x:f>SUMIFS('Open_POs'!$D$2:$D$26,'Open_POs'!$B$2:$B$26,E562,'Open_POs'!$E$2:$E$26,"&lt;="&amp;B562)</x:f>
        <x:v>0</x:v>
      </x:c>
      <x:c r="M562" s="76" t="n">
        <x:f>J562+L562</x:f>
        <x:v>862</x:v>
      </x:c>
      <x:c r="N562" s="76" t="n">
        <x:f>SUMIFS($I$2:I562,$E$2:E562,E562)</x:f>
        <x:v>18985.199999999997</x:v>
      </x:c>
      <x:c r="O562" s="76" t="n">
        <x:f>M562-N562</x:f>
        <x:v>-18123.199999999997</x:v>
      </x:c>
      <x:c r="P562" s="71" t="str">
        <x:f>IF(O562&lt;0,"SHORT",IF(O562&lt;K562,"BELOW TARGET","COVERED"))</x:f>
        <x:v>SHORT</x:v>
      </x:c>
      <x:c r="Q562" s="63" t="str">
        <x:f>IF(AND(P562="SHORT",COUNTIFS($E$2:E562,E562,$P$2:P562,"SHORT")=1),B562,"")</x:f>
      </x:c>
    </x:row>
    <x:row r="563" ht="15" customHeight="1">
      <x:c r="A563" s="71" t="str">
        <x:v>SO-26038</x:v>
      </x:c>
      <x:c r="B563" s="75" t="n">
        <x:v>46292</x:v>
      </x:c>
      <x:c r="C563" s="71" t="str">
        <x:v>Normal</x:v>
      </x:c>
      <x:c r="D563" s="71" t="str">
        <x:v>FG-017</x:v>
      </x:c>
      <x:c r="E563" s="71" t="str">
        <x:v>RM-059</x:v>
      </x:c>
      <x:c r="F563" s="71" t="str">
        <x:v>Additive 059</x:v>
      </x:c>
      <x:c r="G563" s="76" t="n">
        <x:v>30</x:v>
      </x:c>
      <x:c r="H563" s="76" t="n">
        <x:v>60.54</x:v>
      </x:c>
      <x:c r="I563" s="76" t="n">
        <x:f>G563*H563</x:f>
        <x:v>1816.2</x:v>
      </x:c>
      <x:c r="J563" s="76" t="n">
        <x:f>IFERROR(INDEX('Inventory'!$E$2:$E$71,MATCH(E563,'Inventory'!$A$2:$A$71,0)),0)</x:f>
        <x:v>10488</x:v>
      </x:c>
      <x:c r="K563" s="76" t="n">
        <x:f>IFERROR(INDEX('Inventory'!$F$2:$F$71,MATCH(E563,'Inventory'!$A$2:$A$71,0)),0)</x:f>
        <x:v>1442</x:v>
      </x:c>
      <x:c r="L563" s="76" t="n">
        <x:f>SUMIFS('Open_POs'!$D$2:$D$26,'Open_POs'!$B$2:$B$26,E563,'Open_POs'!$E$2:$E$26,"&lt;="&amp;B563)</x:f>
        <x:v>5000</x:v>
      </x:c>
      <x:c r="M563" s="76" t="n">
        <x:f>J563+L563</x:f>
        <x:v>15488</x:v>
      </x:c>
      <x:c r="N563" s="76" t="n">
        <x:f>SUMIFS($I$2:I563,$E$2:E563,E563)</x:f>
        <x:v>58565.100000000006</x:v>
      </x:c>
      <x:c r="O563" s="76" t="n">
        <x:f>M563-N563</x:f>
        <x:v>-43077.100000000006</x:v>
      </x:c>
      <x:c r="P563" s="71" t="str">
        <x:f>IF(O563&lt;0,"SHORT",IF(O563&lt;K563,"BELOW TARGET","COVERED"))</x:f>
        <x:v>SHORT</x:v>
      </x:c>
      <x:c r="Q563" s="63" t="str">
        <x:f>IF(AND(P563="SHORT",COUNTIFS($E$2:E563,E563,$P$2:P563,"SHORT")=1),B563,"")</x:f>
      </x:c>
    </x:row>
    <x:row r="564" ht="15" customHeight="1">
      <x:c r="A564" s="71" t="str">
        <x:v>SO-26018</x:v>
      </x:c>
      <x:c r="B564" s="75" t="n">
        <x:v>46293</x:v>
      </x:c>
      <x:c r="C564" s="71" t="str">
        <x:v>Normal</x:v>
      </x:c>
      <x:c r="D564" s="71" t="str">
        <x:v>FG-016</x:v>
      </x:c>
      <x:c r="E564" s="71" t="str">
        <x:v>RM-004</x:v>
      </x:c>
      <x:c r="F564" s="71" t="str">
        <x:v>Additive 004</x:v>
      </x:c>
      <x:c r="G564" s="76" t="n">
        <x:v>60</x:v>
      </x:c>
      <x:c r="H564" s="76" t="n">
        <x:v>6.48</x:v>
      </x:c>
      <x:c r="I564" s="76" t="n">
        <x:f>G564*H564</x:f>
        <x:v>388.8</x:v>
      </x:c>
      <x:c r="J564" s="76" t="n">
        <x:f>IFERROR(INDEX('Inventory'!$E$2:$E$71,MATCH(E564,'Inventory'!$A$2:$A$71,0)),0)</x:f>
        <x:v>11262</x:v>
      </x:c>
      <x:c r="K564" s="76" t="n">
        <x:f>IFERROR(INDEX('Inventory'!$F$2:$F$71,MATCH(E564,'Inventory'!$A$2:$A$71,0)),0)</x:f>
        <x:v>1178</x:v>
      </x:c>
      <x:c r="L564" s="76" t="n">
        <x:f>SUMIFS('Open_POs'!$D$2:$D$26,'Open_POs'!$B$2:$B$26,E564,'Open_POs'!$E$2:$E$26,"&lt;="&amp;B564)</x:f>
        <x:v>0</x:v>
      </x:c>
      <x:c r="M564" s="76" t="n">
        <x:f>J564+L564</x:f>
        <x:v>11262</x:v>
      </x:c>
      <x:c r="N564" s="76" t="n">
        <x:f>SUMIFS($I$2:I564,$E$2:E564,E564)</x:f>
        <x:v>18879.600000000002</x:v>
      </x:c>
      <x:c r="O564" s="76" t="n">
        <x:f>M564-N564</x:f>
        <x:v>-7617.600000000002</x:v>
      </x:c>
      <x:c r="P564" s="71" t="str">
        <x:f>IF(O564&lt;0,"SHORT",IF(O564&lt;K564,"BELOW TARGET","COVERED"))</x:f>
        <x:v>SHORT</x:v>
      </x:c>
      <x:c r="Q564" s="63" t="str">
        <x:f>IF(AND(P564="SHORT",COUNTIFS($E$2:E564,E564,$P$2:P564,"SHORT")=1),B564,"")</x:f>
      </x:c>
    </x:row>
    <x:row r="565" ht="15" customHeight="1">
      <x:c r="A565" s="71" t="str">
        <x:v>SO-26018</x:v>
      </x:c>
      <x:c r="B565" s="75" t="n">
        <x:v>46293</x:v>
      </x:c>
      <x:c r="C565" s="71" t="str">
        <x:v>Normal</x:v>
      </x:c>
      <x:c r="D565" s="71" t="str">
        <x:v>FG-016</x:v>
      </x:c>
      <x:c r="E565" s="71" t="str">
        <x:v>RM-010</x:v>
      </x:c>
      <x:c r="F565" s="71" t="str">
        <x:v>Packaging 010</x:v>
      </x:c>
      <x:c r="G565" s="76" t="n">
        <x:v>60</x:v>
      </x:c>
      <x:c r="H565" s="76" t="n">
        <x:v>48.81</x:v>
      </x:c>
      <x:c r="I565" s="76" t="n">
        <x:f>G565*H565</x:f>
        <x:v>2928.6000000000004</x:v>
      </x:c>
      <x:c r="J565" s="76" t="n">
        <x:f>IFERROR(INDEX('Inventory'!$E$2:$E$71,MATCH(E565,'Inventory'!$A$2:$A$71,0)),0)</x:f>
        <x:v>14191</x:v>
      </x:c>
      <x:c r="K565" s="76" t="n">
        <x:f>IFERROR(INDEX('Inventory'!$F$2:$F$71,MATCH(E565,'Inventory'!$A$2:$A$71,0)),0)</x:f>
        <x:v>615</x:v>
      </x:c>
      <x:c r="L565" s="76" t="n">
        <x:f>SUMIFS('Open_POs'!$D$2:$D$26,'Open_POs'!$B$2:$B$26,E565,'Open_POs'!$E$2:$E$26,"&lt;="&amp;B565)</x:f>
        <x:v>0</x:v>
      </x:c>
      <x:c r="M565" s="76" t="n">
        <x:f>J565+L565</x:f>
        <x:v>14191</x:v>
      </x:c>
      <x:c r="N565" s="76" t="n">
        <x:f>SUMIFS($I$2:I565,$E$2:E565,E565)</x:f>
        <x:v>70189.70000000001</x:v>
      </x:c>
      <x:c r="O565" s="76" t="n">
        <x:f>M565-N565</x:f>
        <x:v>-55998.70000000001</x:v>
      </x:c>
      <x:c r="P565" s="71" t="str">
        <x:f>IF(O565&lt;0,"SHORT",IF(O565&lt;K565,"BELOW TARGET","COVERED"))</x:f>
        <x:v>SHORT</x:v>
      </x:c>
      <x:c r="Q565" s="63" t="str">
        <x:f>IF(AND(P565="SHORT",COUNTIFS($E$2:E565,E565,$P$2:P565,"SHORT")=1),B565,"")</x:f>
      </x:c>
    </x:row>
    <x:row r="566" ht="15" customHeight="1">
      <x:c r="A566" s="71" t="str">
        <x:v>SO-26018</x:v>
      </x:c>
      <x:c r="B566" s="75" t="n">
        <x:v>46293</x:v>
      </x:c>
      <x:c r="C566" s="71" t="str">
        <x:v>Normal</x:v>
      </x:c>
      <x:c r="D566" s="71" t="str">
        <x:v>FG-016</x:v>
      </x:c>
      <x:c r="E566" s="71" t="str">
        <x:v>RM-016</x:v>
      </x:c>
      <x:c r="F566" s="71" t="str">
        <x:v>Resin 016</x:v>
      </x:c>
      <x:c r="G566" s="76" t="n">
        <x:v>60</x:v>
      </x:c>
      <x:c r="H566" s="76" t="n">
        <x:v>32.75</x:v>
      </x:c>
      <x:c r="I566" s="76" t="n">
        <x:f>G566*H566</x:f>
        <x:v>1965</x:v>
      </x:c>
      <x:c r="J566" s="76" t="n">
        <x:f>IFERROR(INDEX('Inventory'!$E$2:$E$71,MATCH(E566,'Inventory'!$A$2:$A$71,0)),0)</x:f>
        <x:v>116</x:v>
      </x:c>
      <x:c r="K566" s="76" t="n">
        <x:f>IFERROR(INDEX('Inventory'!$F$2:$F$71,MATCH(E566,'Inventory'!$A$2:$A$71,0)),0)</x:f>
        <x:v>888</x:v>
      </x:c>
      <x:c r="L566" s="76" t="n">
        <x:f>SUMIFS('Open_POs'!$D$2:$D$26,'Open_POs'!$B$2:$B$26,E566,'Open_POs'!$E$2:$E$26,"&lt;="&amp;B566)</x:f>
        <x:v>0</x:v>
      </x:c>
      <x:c r="M566" s="76" t="n">
        <x:f>J566+L566</x:f>
        <x:v>116</x:v>
      </x:c>
      <x:c r="N566" s="76" t="n">
        <x:f>SUMIFS($I$2:I566,$E$2:E566,E566)</x:f>
        <x:v>16183.900000000001</x:v>
      </x:c>
      <x:c r="O566" s="76" t="n">
        <x:f>M566-N566</x:f>
        <x:v>-16067.900000000001</x:v>
      </x:c>
      <x:c r="P566" s="71" t="str">
        <x:f>IF(O566&lt;0,"SHORT",IF(O566&lt;K566,"BELOW TARGET","COVERED"))</x:f>
        <x:v>SHORT</x:v>
      </x:c>
      <x:c r="Q566" s="63" t="str">
        <x:f>IF(AND(P566="SHORT",COUNTIFS($E$2:E566,E566,$P$2:P566,"SHORT")=1),B566,"")</x:f>
      </x:c>
    </x:row>
    <x:row r="567" ht="15" customHeight="1">
      <x:c r="A567" s="71" t="str">
        <x:v>SO-26018</x:v>
      </x:c>
      <x:c r="B567" s="75" t="n">
        <x:v>46293</x:v>
      </x:c>
      <x:c r="C567" s="71" t="str">
        <x:v>Normal</x:v>
      </x:c>
      <x:c r="D567" s="71" t="str">
        <x:v>FG-016</x:v>
      </x:c>
      <x:c r="E567" s="71" t="str">
        <x:v>RM-023</x:v>
      </x:c>
      <x:c r="F567" s="71" t="str">
        <x:v>Filler 023</x:v>
      </x:c>
      <x:c r="G567" s="76" t="n">
        <x:v>60</x:v>
      </x:c>
      <x:c r="H567" s="76" t="n">
        <x:v>27.38</x:v>
      </x:c>
      <x:c r="I567" s="76" t="n">
        <x:f>G567*H567</x:f>
        <x:v>1642.8</x:v>
      </x:c>
      <x:c r="J567" s="76" t="n">
        <x:f>IFERROR(INDEX('Inventory'!$E$2:$E$71,MATCH(E567,'Inventory'!$A$2:$A$71,0)),0)</x:f>
        <x:v>3401</x:v>
      </x:c>
      <x:c r="K567" s="76" t="n">
        <x:f>IFERROR(INDEX('Inventory'!$F$2:$F$71,MATCH(E567,'Inventory'!$A$2:$A$71,0)),0)</x:f>
        <x:v>418</x:v>
      </x:c>
      <x:c r="L567" s="76" t="n">
        <x:f>SUMIFS('Open_POs'!$D$2:$D$26,'Open_POs'!$B$2:$B$26,E567,'Open_POs'!$E$2:$E$26,"&lt;="&amp;B567)</x:f>
        <x:v>0</x:v>
      </x:c>
      <x:c r="M567" s="76" t="n">
        <x:f>J567+L567</x:f>
        <x:v>3401</x:v>
      </x:c>
      <x:c r="N567" s="76" t="n">
        <x:f>SUMIFS($I$2:I567,$E$2:E567,E567)</x:f>
        <x:v>18861.6</x:v>
      </x:c>
      <x:c r="O567" s="76" t="n">
        <x:f>M567-N567</x:f>
        <x:v>-15460.599999999999</x:v>
      </x:c>
      <x:c r="P567" s="71" t="str">
        <x:f>IF(O567&lt;0,"SHORT",IF(O567&lt;K567,"BELOW TARGET","COVERED"))</x:f>
        <x:v>SHORT</x:v>
      </x:c>
      <x:c r="Q567" s="63" t="str">
        <x:f>IF(AND(P567="SHORT",COUNTIFS($E$2:E567,E567,$P$2:P567,"SHORT")=1),B567,"")</x:f>
      </x:c>
    </x:row>
    <x:row r="568" ht="15" customHeight="1">
      <x:c r="A568" s="71" t="str">
        <x:v>SO-26018</x:v>
      </x:c>
      <x:c r="B568" s="75" t="n">
        <x:v>46293</x:v>
      </x:c>
      <x:c r="C568" s="71" t="str">
        <x:v>Normal</x:v>
      </x:c>
      <x:c r="D568" s="71" t="str">
        <x:v>FG-016</x:v>
      </x:c>
      <x:c r="E568" s="71" t="str">
        <x:v>RM-031</x:v>
      </x:c>
      <x:c r="F568" s="71" t="str">
        <x:v>Resin 031</x:v>
      </x:c>
      <x:c r="G568" s="76" t="n">
        <x:v>60</x:v>
      </x:c>
      <x:c r="H568" s="76" t="n">
        <x:v>27.04</x:v>
      </x:c>
      <x:c r="I568" s="76" t="n">
        <x:f>G568*H568</x:f>
        <x:v>1622.3999999999999</x:v>
      </x:c>
      <x:c r="J568" s="76" t="n">
        <x:f>IFERROR(INDEX('Inventory'!$E$2:$E$71,MATCH(E568,'Inventory'!$A$2:$A$71,0)),0)</x:f>
        <x:v>6087</x:v>
      </x:c>
      <x:c r="K568" s="76" t="n">
        <x:f>IFERROR(INDEX('Inventory'!$F$2:$F$71,MATCH(E568,'Inventory'!$A$2:$A$71,0)),0)</x:f>
        <x:v>714</x:v>
      </x:c>
      <x:c r="L568" s="76" t="n">
        <x:f>SUMIFS('Open_POs'!$D$2:$D$26,'Open_POs'!$B$2:$B$26,E568,'Open_POs'!$E$2:$E$26,"&lt;="&amp;B568)</x:f>
        <x:v>0</x:v>
      </x:c>
      <x:c r="M568" s="76" t="n">
        <x:f>J568+L568</x:f>
        <x:v>6087</x:v>
      </x:c>
      <x:c r="N568" s="76" t="n">
        <x:f>SUMIFS($I$2:I568,$E$2:E568,E568)</x:f>
        <x:v>21535.1</x:v>
      </x:c>
      <x:c r="O568" s="76" t="n">
        <x:f>M568-N568</x:f>
        <x:v>-15448.099999999999</x:v>
      </x:c>
      <x:c r="P568" s="71" t="str">
        <x:f>IF(O568&lt;0,"SHORT",IF(O568&lt;K568,"BELOW TARGET","COVERED"))</x:f>
        <x:v>SHORT</x:v>
      </x:c>
      <x:c r="Q568" s="63" t="str">
        <x:f>IF(AND(P568="SHORT",COUNTIFS($E$2:E568,E568,$P$2:P568,"SHORT")=1),B568,"")</x:f>
      </x:c>
    </x:row>
    <x:row r="569" ht="15" customHeight="1">
      <x:c r="A569" s="71" t="str">
        <x:v>SO-26018</x:v>
      </x:c>
      <x:c r="B569" s="75" t="n">
        <x:v>46293</x:v>
      </x:c>
      <x:c r="C569" s="71" t="str">
        <x:v>Normal</x:v>
      </x:c>
      <x:c r="D569" s="71" t="str">
        <x:v>FG-016</x:v>
      </x:c>
      <x:c r="E569" s="71" t="str">
        <x:v>RM-039</x:v>
      </x:c>
      <x:c r="F569" s="71" t="str">
        <x:v>Additive 039</x:v>
      </x:c>
      <x:c r="G569" s="76" t="n">
        <x:v>60</x:v>
      </x:c>
      <x:c r="H569" s="76" t="n">
        <x:v>18.02</x:v>
      </x:c>
      <x:c r="I569" s="76" t="n">
        <x:f>G569*H569</x:f>
        <x:v>1081.2</x:v>
      </x:c>
      <x:c r="J569" s="76" t="n">
        <x:f>IFERROR(INDEX('Inventory'!$E$2:$E$71,MATCH(E569,'Inventory'!$A$2:$A$71,0)),0)</x:f>
        <x:v>15593</x:v>
      </x:c>
      <x:c r="K569" s="76" t="n">
        <x:f>IFERROR(INDEX('Inventory'!$F$2:$F$71,MATCH(E569,'Inventory'!$A$2:$A$71,0)),0)</x:f>
        <x:v>1243</x:v>
      </x:c>
      <x:c r="L569" s="76" t="n">
        <x:f>SUMIFS('Open_POs'!$D$2:$D$26,'Open_POs'!$B$2:$B$26,E569,'Open_POs'!$E$2:$E$26,"&lt;="&amp;B569)</x:f>
        <x:v>0</x:v>
      </x:c>
      <x:c r="M569" s="76" t="n">
        <x:f>J569+L569</x:f>
        <x:v>15593</x:v>
      </x:c>
      <x:c r="N569" s="76" t="n">
        <x:f>SUMIFS($I$2:I569,$E$2:E569,E569)</x:f>
        <x:v>54376.999999999985</x:v>
      </x:c>
      <x:c r="O569" s="76" t="n">
        <x:f>M569-N569</x:f>
        <x:v>-38783.999999999985</x:v>
      </x:c>
      <x:c r="P569" s="71" t="str">
        <x:f>IF(O569&lt;0,"SHORT",IF(O569&lt;K569,"BELOW TARGET","COVERED"))</x:f>
        <x:v>SHORT</x:v>
      </x:c>
      <x:c r="Q569" s="63" t="str">
        <x:f>IF(AND(P569="SHORT",COUNTIFS($E$2:E569,E569,$P$2:P569,"SHORT")=1),B569,"")</x:f>
      </x:c>
    </x:row>
    <x:row r="570" ht="15" customHeight="1">
      <x:c r="A570" s="71" t="str">
        <x:v>SO-26018</x:v>
      </x:c>
      <x:c r="B570" s="75" t="n">
        <x:v>46293</x:v>
      </x:c>
      <x:c r="C570" s="71" t="str">
        <x:v>Normal</x:v>
      </x:c>
      <x:c r="D570" s="71" t="str">
        <x:v>FG-016</x:v>
      </x:c>
      <x:c r="E570" s="71" t="str">
        <x:v>RM-062</x:v>
      </x:c>
      <x:c r="F570" s="71" t="str">
        <x:v>Pigment 062</x:v>
      </x:c>
      <x:c r="G570" s="76" t="n">
        <x:v>60</x:v>
      </x:c>
      <x:c r="H570" s="76" t="n">
        <x:v>9.6</x:v>
      </x:c>
      <x:c r="I570" s="76" t="n">
        <x:f>G570*H570</x:f>
        <x:v>576</x:v>
      </x:c>
      <x:c r="J570" s="76" t="n">
        <x:f>IFERROR(INDEX('Inventory'!$E$2:$E$71,MATCH(E570,'Inventory'!$A$2:$A$71,0)),0)</x:f>
        <x:v>7110</x:v>
      </x:c>
      <x:c r="K570" s="76" t="n">
        <x:f>IFERROR(INDEX('Inventory'!$F$2:$F$71,MATCH(E570,'Inventory'!$A$2:$A$71,0)),0)</x:f>
        <x:v>1339</x:v>
      </x:c>
      <x:c r="L570" s="76" t="n">
        <x:f>SUMIFS('Open_POs'!$D$2:$D$26,'Open_POs'!$B$2:$B$26,E570,'Open_POs'!$E$2:$E$26,"&lt;="&amp;B570)</x:f>
        <x:v>1000</x:v>
      </x:c>
      <x:c r="M570" s="76" t="n">
        <x:f>J570+L570</x:f>
        <x:v>8110</x:v>
      </x:c>
      <x:c r="N570" s="76" t="n">
        <x:f>SUMIFS($I$2:I570,$E$2:E570,E570)</x:f>
        <x:v>8898.3</x:v>
      </x:c>
      <x:c r="O570" s="76" t="n">
        <x:f>M570-N570</x:f>
        <x:v>-788.2999999999993</x:v>
      </x:c>
      <x:c r="P570" s="71" t="str">
        <x:f>IF(O570&lt;0,"SHORT",IF(O570&lt;K570,"BELOW TARGET","COVERED"))</x:f>
        <x:v>SHORT</x:v>
      </x:c>
      <x:c r="Q570" s="63" t="str">
        <x:f>IF(AND(P570="SHORT",COUNTIFS($E$2:E570,E570,$P$2:P570,"SHORT")=1),B570,"")</x:f>
      </x:c>
    </x:row>
    <x:row r="571" ht="15" customHeight="1">
      <x:c r="A571" s="71" t="str">
        <x:v>SO-26048</x:v>
      </x:c>
      <x:c r="B571" s="75" t="n">
        <x:v>46293</x:v>
      </x:c>
      <x:c r="C571" s="71" t="str">
        <x:v>Normal</x:v>
      </x:c>
      <x:c r="D571" s="71" t="str">
        <x:v>FG-016</x:v>
      </x:c>
      <x:c r="E571" s="71" t="str">
        <x:v>RM-004</x:v>
      </x:c>
      <x:c r="F571" s="71" t="str">
        <x:v>Additive 004</x:v>
      </x:c>
      <x:c r="G571" s="76" t="n">
        <x:v>80</x:v>
      </x:c>
      <x:c r="H571" s="76" t="n">
        <x:v>6.48</x:v>
      </x:c>
      <x:c r="I571" s="76" t="n">
        <x:f>G571*H571</x:f>
        <x:v>518.4000000000001</x:v>
      </x:c>
      <x:c r="J571" s="76" t="n">
        <x:f>IFERROR(INDEX('Inventory'!$E$2:$E$71,MATCH(E571,'Inventory'!$A$2:$A$71,0)),0)</x:f>
        <x:v>11262</x:v>
      </x:c>
      <x:c r="K571" s="76" t="n">
        <x:f>IFERROR(INDEX('Inventory'!$F$2:$F$71,MATCH(E571,'Inventory'!$A$2:$A$71,0)),0)</x:f>
        <x:v>1178</x:v>
      </x:c>
      <x:c r="L571" s="76" t="n">
        <x:f>SUMIFS('Open_POs'!$D$2:$D$26,'Open_POs'!$B$2:$B$26,E571,'Open_POs'!$E$2:$E$26,"&lt;="&amp;B571)</x:f>
        <x:v>0</x:v>
      </x:c>
      <x:c r="M571" s="76" t="n">
        <x:f>J571+L571</x:f>
        <x:v>11262</x:v>
      </x:c>
      <x:c r="N571" s="76" t="n">
        <x:f>SUMIFS($I$2:I571,$E$2:E571,E571)</x:f>
        <x:v>19398.000000000004</x:v>
      </x:c>
      <x:c r="O571" s="76" t="n">
        <x:f>M571-N571</x:f>
        <x:v>-8136.000000000004</x:v>
      </x:c>
      <x:c r="P571" s="71" t="str">
        <x:f>IF(O571&lt;0,"SHORT",IF(O571&lt;K571,"BELOW TARGET","COVERED"))</x:f>
        <x:v>SHORT</x:v>
      </x:c>
      <x:c r="Q571" s="63" t="str">
        <x:f>IF(AND(P571="SHORT",COUNTIFS($E$2:E571,E571,$P$2:P571,"SHORT")=1),B571,"")</x:f>
      </x:c>
    </x:row>
    <x:row r="572" ht="15" customHeight="1">
      <x:c r="A572" s="71" t="str">
        <x:v>SO-26048</x:v>
      </x:c>
      <x:c r="B572" s="75" t="n">
        <x:v>46293</x:v>
      </x:c>
      <x:c r="C572" s="71" t="str">
        <x:v>Normal</x:v>
      </x:c>
      <x:c r="D572" s="71" t="str">
        <x:v>FG-016</x:v>
      </x:c>
      <x:c r="E572" s="71" t="str">
        <x:v>RM-010</x:v>
      </x:c>
      <x:c r="F572" s="71" t="str">
        <x:v>Packaging 010</x:v>
      </x:c>
      <x:c r="G572" s="76" t="n">
        <x:v>80</x:v>
      </x:c>
      <x:c r="H572" s="76" t="n">
        <x:v>48.81</x:v>
      </x:c>
      <x:c r="I572" s="76" t="n">
        <x:f>G572*H572</x:f>
        <x:v>3904.8</x:v>
      </x:c>
      <x:c r="J572" s="76" t="n">
        <x:f>IFERROR(INDEX('Inventory'!$E$2:$E$71,MATCH(E572,'Inventory'!$A$2:$A$71,0)),0)</x:f>
        <x:v>14191</x:v>
      </x:c>
      <x:c r="K572" s="76" t="n">
        <x:f>IFERROR(INDEX('Inventory'!$F$2:$F$71,MATCH(E572,'Inventory'!$A$2:$A$71,0)),0)</x:f>
        <x:v>615</x:v>
      </x:c>
      <x:c r="L572" s="76" t="n">
        <x:f>SUMIFS('Open_POs'!$D$2:$D$26,'Open_POs'!$B$2:$B$26,E572,'Open_POs'!$E$2:$E$26,"&lt;="&amp;B572)</x:f>
        <x:v>0</x:v>
      </x:c>
      <x:c r="M572" s="76" t="n">
        <x:f>J572+L572</x:f>
        <x:v>14191</x:v>
      </x:c>
      <x:c r="N572" s="76" t="n">
        <x:f>SUMIFS($I$2:I572,$E$2:E572,E572)</x:f>
        <x:v>74094.50000000001</x:v>
      </x:c>
      <x:c r="O572" s="76" t="n">
        <x:f>M572-N572</x:f>
        <x:v>-59903.500000000015</x:v>
      </x:c>
      <x:c r="P572" s="71" t="str">
        <x:f>IF(O572&lt;0,"SHORT",IF(O572&lt;K572,"BELOW TARGET","COVERED"))</x:f>
        <x:v>SHORT</x:v>
      </x:c>
      <x:c r="Q572" s="63" t="str">
        <x:f>IF(AND(P572="SHORT",COUNTIFS($E$2:E572,E572,$P$2:P572,"SHORT")=1),B572,"")</x:f>
      </x:c>
    </x:row>
    <x:row r="573" ht="15" customHeight="1">
      <x:c r="A573" s="71" t="str">
        <x:v>SO-26048</x:v>
      </x:c>
      <x:c r="B573" s="75" t="n">
        <x:v>46293</x:v>
      </x:c>
      <x:c r="C573" s="71" t="str">
        <x:v>Normal</x:v>
      </x:c>
      <x:c r="D573" s="71" t="str">
        <x:v>FG-016</x:v>
      </x:c>
      <x:c r="E573" s="71" t="str">
        <x:v>RM-016</x:v>
      </x:c>
      <x:c r="F573" s="71" t="str">
        <x:v>Resin 016</x:v>
      </x:c>
      <x:c r="G573" s="76" t="n">
        <x:v>80</x:v>
      </x:c>
      <x:c r="H573" s="76" t="n">
        <x:v>32.75</x:v>
      </x:c>
      <x:c r="I573" s="76" t="n">
        <x:f>G573*H573</x:f>
        <x:v>2620</x:v>
      </x:c>
      <x:c r="J573" s="76" t="n">
        <x:f>IFERROR(INDEX('Inventory'!$E$2:$E$71,MATCH(E573,'Inventory'!$A$2:$A$71,0)),0)</x:f>
        <x:v>116</x:v>
      </x:c>
      <x:c r="K573" s="76" t="n">
        <x:f>IFERROR(INDEX('Inventory'!$F$2:$F$71,MATCH(E573,'Inventory'!$A$2:$A$71,0)),0)</x:f>
        <x:v>888</x:v>
      </x:c>
      <x:c r="L573" s="76" t="n">
        <x:f>SUMIFS('Open_POs'!$D$2:$D$26,'Open_POs'!$B$2:$B$26,E573,'Open_POs'!$E$2:$E$26,"&lt;="&amp;B573)</x:f>
        <x:v>0</x:v>
      </x:c>
      <x:c r="M573" s="76" t="n">
        <x:f>J573+L573</x:f>
        <x:v>116</x:v>
      </x:c>
      <x:c r="N573" s="76" t="n">
        <x:f>SUMIFS($I$2:I573,$E$2:E573,E573)</x:f>
        <x:v>18803.9</x:v>
      </x:c>
      <x:c r="O573" s="76" t="n">
        <x:f>M573-N573</x:f>
        <x:v>-18687.9</x:v>
      </x:c>
      <x:c r="P573" s="71" t="str">
        <x:f>IF(O573&lt;0,"SHORT",IF(O573&lt;K573,"BELOW TARGET","COVERED"))</x:f>
        <x:v>SHORT</x:v>
      </x:c>
      <x:c r="Q573" s="63" t="str">
        <x:f>IF(AND(P573="SHORT",COUNTIFS($E$2:E573,E573,$P$2:P573,"SHORT")=1),B573,"")</x:f>
      </x:c>
    </x:row>
    <x:row r="574" ht="15" customHeight="1">
      <x:c r="A574" s="71" t="str">
        <x:v>SO-26048</x:v>
      </x:c>
      <x:c r="B574" s="75" t="n">
        <x:v>46293</x:v>
      </x:c>
      <x:c r="C574" s="71" t="str">
        <x:v>Normal</x:v>
      </x:c>
      <x:c r="D574" s="71" t="str">
        <x:v>FG-016</x:v>
      </x:c>
      <x:c r="E574" s="71" t="str">
        <x:v>RM-023</x:v>
      </x:c>
      <x:c r="F574" s="71" t="str">
        <x:v>Filler 023</x:v>
      </x:c>
      <x:c r="G574" s="76" t="n">
        <x:v>80</x:v>
      </x:c>
      <x:c r="H574" s="76" t="n">
        <x:v>27.38</x:v>
      </x:c>
      <x:c r="I574" s="76" t="n">
        <x:f>G574*H574</x:f>
        <x:v>2190.4</x:v>
      </x:c>
      <x:c r="J574" s="76" t="n">
        <x:f>IFERROR(INDEX('Inventory'!$E$2:$E$71,MATCH(E574,'Inventory'!$A$2:$A$71,0)),0)</x:f>
        <x:v>3401</x:v>
      </x:c>
      <x:c r="K574" s="76" t="n">
        <x:f>IFERROR(INDEX('Inventory'!$F$2:$F$71,MATCH(E574,'Inventory'!$A$2:$A$71,0)),0)</x:f>
        <x:v>418</x:v>
      </x:c>
      <x:c r="L574" s="76" t="n">
        <x:f>SUMIFS('Open_POs'!$D$2:$D$26,'Open_POs'!$B$2:$B$26,E574,'Open_POs'!$E$2:$E$26,"&lt;="&amp;B574)</x:f>
        <x:v>0</x:v>
      </x:c>
      <x:c r="M574" s="76" t="n">
        <x:f>J574+L574</x:f>
        <x:v>3401</x:v>
      </x:c>
      <x:c r="N574" s="76" t="n">
        <x:f>SUMIFS($I$2:I574,$E$2:E574,E574)</x:f>
        <x:v>21052</x:v>
      </x:c>
      <x:c r="O574" s="76" t="n">
        <x:f>M574-N574</x:f>
        <x:v>-17651</x:v>
      </x:c>
      <x:c r="P574" s="71" t="str">
        <x:f>IF(O574&lt;0,"SHORT",IF(O574&lt;K574,"BELOW TARGET","COVERED"))</x:f>
        <x:v>SHORT</x:v>
      </x:c>
      <x:c r="Q574" s="63" t="str">
        <x:f>IF(AND(P574="SHORT",COUNTIFS($E$2:E574,E574,$P$2:P574,"SHORT")=1),B574,"")</x:f>
      </x:c>
    </x:row>
    <x:row r="575" ht="15" customHeight="1">
      <x:c r="A575" s="71" t="str">
        <x:v>SO-26048</x:v>
      </x:c>
      <x:c r="B575" s="75" t="n">
        <x:v>46293</x:v>
      </x:c>
      <x:c r="C575" s="71" t="str">
        <x:v>Normal</x:v>
      </x:c>
      <x:c r="D575" s="71" t="str">
        <x:v>FG-016</x:v>
      </x:c>
      <x:c r="E575" s="71" t="str">
        <x:v>RM-031</x:v>
      </x:c>
      <x:c r="F575" s="71" t="str">
        <x:v>Resin 031</x:v>
      </x:c>
      <x:c r="G575" s="76" t="n">
        <x:v>80</x:v>
      </x:c>
      <x:c r="H575" s="76" t="n">
        <x:v>27.04</x:v>
      </x:c>
      <x:c r="I575" s="76" t="n">
        <x:f>G575*H575</x:f>
        <x:v>2163.2</x:v>
      </x:c>
      <x:c r="J575" s="76" t="n">
        <x:f>IFERROR(INDEX('Inventory'!$E$2:$E$71,MATCH(E575,'Inventory'!$A$2:$A$71,0)),0)</x:f>
        <x:v>6087</x:v>
      </x:c>
      <x:c r="K575" s="76" t="n">
        <x:f>IFERROR(INDEX('Inventory'!$F$2:$F$71,MATCH(E575,'Inventory'!$A$2:$A$71,0)),0)</x:f>
        <x:v>714</x:v>
      </x:c>
      <x:c r="L575" s="76" t="n">
        <x:f>SUMIFS('Open_POs'!$D$2:$D$26,'Open_POs'!$B$2:$B$26,E575,'Open_POs'!$E$2:$E$26,"&lt;="&amp;B575)</x:f>
        <x:v>0</x:v>
      </x:c>
      <x:c r="M575" s="76" t="n">
        <x:f>J575+L575</x:f>
        <x:v>6087</x:v>
      </x:c>
      <x:c r="N575" s="76" t="n">
        <x:f>SUMIFS($I$2:I575,$E$2:E575,E575)</x:f>
        <x:v>23698.3</x:v>
      </x:c>
      <x:c r="O575" s="76" t="n">
        <x:f>M575-N575</x:f>
        <x:v>-17611.3</x:v>
      </x:c>
      <x:c r="P575" s="71" t="str">
        <x:f>IF(O575&lt;0,"SHORT",IF(O575&lt;K575,"BELOW TARGET","COVERED"))</x:f>
        <x:v>SHORT</x:v>
      </x:c>
      <x:c r="Q575" s="63" t="str">
        <x:f>IF(AND(P575="SHORT",COUNTIFS($E$2:E575,E575,$P$2:P575,"SHORT")=1),B575,"")</x:f>
      </x:c>
    </x:row>
    <x:row r="576" ht="15" customHeight="1">
      <x:c r="A576" s="71" t="str">
        <x:v>SO-26048</x:v>
      </x:c>
      <x:c r="B576" s="75" t="n">
        <x:v>46293</x:v>
      </x:c>
      <x:c r="C576" s="71" t="str">
        <x:v>Normal</x:v>
      </x:c>
      <x:c r="D576" s="71" t="str">
        <x:v>FG-016</x:v>
      </x:c>
      <x:c r="E576" s="71" t="str">
        <x:v>RM-039</x:v>
      </x:c>
      <x:c r="F576" s="71" t="str">
        <x:v>Additive 039</x:v>
      </x:c>
      <x:c r="G576" s="76" t="n">
        <x:v>80</x:v>
      </x:c>
      <x:c r="H576" s="76" t="n">
        <x:v>18.02</x:v>
      </x:c>
      <x:c r="I576" s="76" t="n">
        <x:f>G576*H576</x:f>
        <x:v>1441.6</x:v>
      </x:c>
      <x:c r="J576" s="76" t="n">
        <x:f>IFERROR(INDEX('Inventory'!$E$2:$E$71,MATCH(E576,'Inventory'!$A$2:$A$71,0)),0)</x:f>
        <x:v>15593</x:v>
      </x:c>
      <x:c r="K576" s="76" t="n">
        <x:f>IFERROR(INDEX('Inventory'!$F$2:$F$71,MATCH(E576,'Inventory'!$A$2:$A$71,0)),0)</x:f>
        <x:v>1243</x:v>
      </x:c>
      <x:c r="L576" s="76" t="n">
        <x:f>SUMIFS('Open_POs'!$D$2:$D$26,'Open_POs'!$B$2:$B$26,E576,'Open_POs'!$E$2:$E$26,"&lt;="&amp;B576)</x:f>
        <x:v>0</x:v>
      </x:c>
      <x:c r="M576" s="76" t="n">
        <x:f>J576+L576</x:f>
        <x:v>15593</x:v>
      </x:c>
      <x:c r="N576" s="76" t="n">
        <x:f>SUMIFS($I$2:I576,$E$2:E576,E576)</x:f>
        <x:v>55818.599999999984</x:v>
      </x:c>
      <x:c r="O576" s="76" t="n">
        <x:f>M576-N576</x:f>
        <x:v>-40225.599999999984</x:v>
      </x:c>
      <x:c r="P576" s="71" t="str">
        <x:f>IF(O576&lt;0,"SHORT",IF(O576&lt;K576,"BELOW TARGET","COVERED"))</x:f>
        <x:v>SHORT</x:v>
      </x:c>
      <x:c r="Q576" s="63" t="str">
        <x:f>IF(AND(P576="SHORT",COUNTIFS($E$2:E576,E576,$P$2:P576,"SHORT")=1),B576,"")</x:f>
      </x:c>
    </x:row>
    <x:row r="577" ht="15" customHeight="1">
      <x:c r="A577" s="71" t="str">
        <x:v>SO-26048</x:v>
      </x:c>
      <x:c r="B577" s="75" t="n">
        <x:v>46293</x:v>
      </x:c>
      <x:c r="C577" s="71" t="str">
        <x:v>Normal</x:v>
      </x:c>
      <x:c r="D577" s="71" t="str">
        <x:v>FG-016</x:v>
      </x:c>
      <x:c r="E577" s="71" t="str">
        <x:v>RM-062</x:v>
      </x:c>
      <x:c r="F577" s="71" t="str">
        <x:v>Pigment 062</x:v>
      </x:c>
      <x:c r="G577" s="76" t="n">
        <x:v>80</x:v>
      </x:c>
      <x:c r="H577" s="76" t="n">
        <x:v>9.6</x:v>
      </x:c>
      <x:c r="I577" s="76" t="n">
        <x:f>G577*H577</x:f>
        <x:v>768</x:v>
      </x:c>
      <x:c r="J577" s="76" t="n">
        <x:f>IFERROR(INDEX('Inventory'!$E$2:$E$71,MATCH(E577,'Inventory'!$A$2:$A$71,0)),0)</x:f>
        <x:v>7110</x:v>
      </x:c>
      <x:c r="K577" s="76" t="n">
        <x:f>IFERROR(INDEX('Inventory'!$F$2:$F$71,MATCH(E577,'Inventory'!$A$2:$A$71,0)),0)</x:f>
        <x:v>1339</x:v>
      </x:c>
      <x:c r="L577" s="76" t="n">
        <x:f>SUMIFS('Open_POs'!$D$2:$D$26,'Open_POs'!$B$2:$B$26,E577,'Open_POs'!$E$2:$E$26,"&lt;="&amp;B577)</x:f>
        <x:v>1000</x:v>
      </x:c>
      <x:c r="M577" s="76" t="n">
        <x:f>J577+L577</x:f>
        <x:v>8110</x:v>
      </x:c>
      <x:c r="N577" s="76" t="n">
        <x:f>SUMIFS($I$2:I577,$E$2:E577,E577)</x:f>
        <x:v>9666.3</x:v>
      </x:c>
      <x:c r="O577" s="76" t="n">
        <x:f>M577-N577</x:f>
        <x:v>-1556.2999999999993</x:v>
      </x:c>
      <x:c r="P577" s="71" t="str">
        <x:f>IF(O577&lt;0,"SHORT",IF(O577&lt;K577,"BELOW TARGET","COVERED"))</x:f>
        <x:v>SHORT</x:v>
      </x:c>
      <x:c r="Q577" s="63" t="str">
        <x:f>IF(AND(P577="SHORT",COUNTIFS($E$2:E577,E577,$P$2:P577,"SHORT")=1),B577,"")</x:f>
      </x:c>
    </x:row>
    <x:row r="578" ht="15" customHeight="1">
      <x:c r="A578" s="71" t="str">
        <x:v>SO-26085</x:v>
      </x:c>
      <x:c r="B578" s="75" t="n">
        <x:v>46293</x:v>
      </x:c>
      <x:c r="C578" s="71" t="str">
        <x:v>Normal</x:v>
      </x:c>
      <x:c r="D578" s="71" t="str">
        <x:v>FG-015</x:v>
      </x:c>
      <x:c r="E578" s="71" t="str">
        <x:v>RM-024</x:v>
      </x:c>
      <x:c r="F578" s="71" t="str">
        <x:v>Additive 024</x:v>
      </x:c>
      <x:c r="G578" s="76" t="n">
        <x:v>40</x:v>
      </x:c>
      <x:c r="H578" s="76" t="n">
        <x:v>92.47</x:v>
      </x:c>
      <x:c r="I578" s="76" t="n">
        <x:f>G578*H578</x:f>
        <x:v>3698.8</x:v>
      </x:c>
      <x:c r="J578" s="76" t="n">
        <x:f>IFERROR(INDEX('Inventory'!$E$2:$E$71,MATCH(E578,'Inventory'!$A$2:$A$71,0)),0)</x:f>
        <x:v>542</x:v>
      </x:c>
      <x:c r="K578" s="76" t="n">
        <x:f>IFERROR(INDEX('Inventory'!$F$2:$F$71,MATCH(E578,'Inventory'!$A$2:$A$71,0)),0)</x:f>
        <x:v>1356</x:v>
      </x:c>
      <x:c r="L578" s="76" t="n">
        <x:f>SUMIFS('Open_POs'!$D$2:$D$26,'Open_POs'!$B$2:$B$26,E578,'Open_POs'!$E$2:$E$26,"&lt;="&amp;B578)</x:f>
        <x:v>0</x:v>
      </x:c>
      <x:c r="M578" s="76" t="n">
        <x:f>J578+L578</x:f>
        <x:v>542</x:v>
      </x:c>
      <x:c r="N578" s="76" t="n">
        <x:f>SUMIFS($I$2:I578,$E$2:E578,E578)</x:f>
        <x:v>40080.200000000004</x:v>
      </x:c>
      <x:c r="O578" s="76" t="n">
        <x:f>M578-N578</x:f>
        <x:v>-39538.200000000004</x:v>
      </x:c>
      <x:c r="P578" s="71" t="str">
        <x:f>IF(O578&lt;0,"SHORT",IF(O578&lt;K578,"BELOW TARGET","COVERED"))</x:f>
        <x:v>SHORT</x:v>
      </x:c>
      <x:c r="Q578" s="63" t="str">
        <x:f>IF(AND(P578="SHORT",COUNTIFS($E$2:E578,E578,$P$2:P578,"SHORT")=1),B578,"")</x:f>
      </x:c>
    </x:row>
    <x:row r="579" ht="15" customHeight="1">
      <x:c r="A579" s="71" t="str">
        <x:v>SO-26085</x:v>
      </x:c>
      <x:c r="B579" s="75" t="n">
        <x:v>46293</x:v>
      </x:c>
      <x:c r="C579" s="71" t="str">
        <x:v>Normal</x:v>
      </x:c>
      <x:c r="D579" s="71" t="str">
        <x:v>FG-015</x:v>
      </x:c>
      <x:c r="E579" s="71" t="str">
        <x:v>RM-033</x:v>
      </x:c>
      <x:c r="F579" s="71" t="str">
        <x:v>Filler 033</x:v>
      </x:c>
      <x:c r="G579" s="76" t="n">
        <x:v>40</x:v>
      </x:c>
      <x:c r="H579" s="76" t="n">
        <x:v>45.14</x:v>
      </x:c>
      <x:c r="I579" s="76" t="n">
        <x:f>G579*H579</x:f>
        <x:v>1805.6</x:v>
      </x:c>
      <x:c r="J579" s="76" t="n">
        <x:f>IFERROR(INDEX('Inventory'!$E$2:$E$71,MATCH(E579,'Inventory'!$A$2:$A$71,0)),0)</x:f>
        <x:v>4157</x:v>
      </x:c>
      <x:c r="K579" s="76" t="n">
        <x:f>IFERROR(INDEX('Inventory'!$F$2:$F$71,MATCH(E579,'Inventory'!$A$2:$A$71,0)),0)</x:f>
        <x:v>1030</x:v>
      </x:c>
      <x:c r="L579" s="76" t="n">
        <x:f>SUMIFS('Open_POs'!$D$2:$D$26,'Open_POs'!$B$2:$B$26,E579,'Open_POs'!$E$2:$E$26,"&lt;="&amp;B579)</x:f>
        <x:v>5000</x:v>
      </x:c>
      <x:c r="M579" s="76" t="n">
        <x:f>J579+L579</x:f>
        <x:v>9157</x:v>
      </x:c>
      <x:c r="N579" s="76" t="n">
        <x:f>SUMIFS($I$2:I579,$E$2:E579,E579)</x:f>
        <x:v>19353</x:v>
      </x:c>
      <x:c r="O579" s="76" t="n">
        <x:f>M579-N579</x:f>
        <x:v>-10196</x:v>
      </x:c>
      <x:c r="P579" s="71" t="str">
        <x:f>IF(O579&lt;0,"SHORT",IF(O579&lt;K579,"BELOW TARGET","COVERED"))</x:f>
        <x:v>SHORT</x:v>
      </x:c>
      <x:c r="Q579" s="63" t="str">
        <x:f>IF(AND(P579="SHORT",COUNTIFS($E$2:E579,E579,$P$2:P579,"SHORT")=1),B579,"")</x:f>
      </x:c>
    </x:row>
    <x:row r="580" ht="15" customHeight="1">
      <x:c r="A580" s="71" t="str">
        <x:v>SO-26085</x:v>
      </x:c>
      <x:c r="B580" s="75" t="n">
        <x:v>46293</x:v>
      </x:c>
      <x:c r="C580" s="71" t="str">
        <x:v>Normal</x:v>
      </x:c>
      <x:c r="D580" s="71" t="str">
        <x:v>FG-015</x:v>
      </x:c>
      <x:c r="E580" s="71" t="str">
        <x:v>RM-039</x:v>
      </x:c>
      <x:c r="F580" s="71" t="str">
        <x:v>Additive 039</x:v>
      </x:c>
      <x:c r="G580" s="76" t="n">
        <x:v>40</x:v>
      </x:c>
      <x:c r="H580" s="76" t="n">
        <x:v>47.84</x:v>
      </x:c>
      <x:c r="I580" s="76" t="n">
        <x:f>G580*H580</x:f>
        <x:v>1913.6000000000001</x:v>
      </x:c>
      <x:c r="J580" s="76" t="n">
        <x:f>IFERROR(INDEX('Inventory'!$E$2:$E$71,MATCH(E580,'Inventory'!$A$2:$A$71,0)),0)</x:f>
        <x:v>15593</x:v>
      </x:c>
      <x:c r="K580" s="76" t="n">
        <x:f>IFERROR(INDEX('Inventory'!$F$2:$F$71,MATCH(E580,'Inventory'!$A$2:$A$71,0)),0)</x:f>
        <x:v>1243</x:v>
      </x:c>
      <x:c r="L580" s="76" t="n">
        <x:f>SUMIFS('Open_POs'!$D$2:$D$26,'Open_POs'!$B$2:$B$26,E580,'Open_POs'!$E$2:$E$26,"&lt;="&amp;B580)</x:f>
        <x:v>0</x:v>
      </x:c>
      <x:c r="M580" s="76" t="n">
        <x:f>J580+L580</x:f>
        <x:v>15593</x:v>
      </x:c>
      <x:c r="N580" s="76" t="n">
        <x:f>SUMIFS($I$2:I580,$E$2:E580,E580)</x:f>
        <x:v>57732.19999999998</x:v>
      </x:c>
      <x:c r="O580" s="76" t="n">
        <x:f>M580-N580</x:f>
        <x:v>-42139.19999999998</x:v>
      </x:c>
      <x:c r="P580" s="71" t="str">
        <x:f>IF(O580&lt;0,"SHORT",IF(O580&lt;K580,"BELOW TARGET","COVERED"))</x:f>
        <x:v>SHORT</x:v>
      </x:c>
      <x:c r="Q580" s="63" t="str">
        <x:f>IF(AND(P580="SHORT",COUNTIFS($E$2:E580,E580,$P$2:P580,"SHORT")=1),B580,"")</x:f>
      </x:c>
    </x:row>
    <x:row r="581" ht="15" customHeight="1">
      <x:c r="A581" s="71" t="str">
        <x:v>SO-26085</x:v>
      </x:c>
      <x:c r="B581" s="75" t="n">
        <x:v>46293</x:v>
      </x:c>
      <x:c r="C581" s="71" t="str">
        <x:v>Normal</x:v>
      </x:c>
      <x:c r="D581" s="71" t="str">
        <x:v>FG-015</x:v>
      </x:c>
      <x:c r="E581" s="71" t="str">
        <x:v>RM-058</x:v>
      </x:c>
      <x:c r="F581" s="71" t="str">
        <x:v>Filler 058</x:v>
      </x:c>
      <x:c r="G581" s="76" t="n">
        <x:v>40</x:v>
      </x:c>
      <x:c r="H581" s="76" t="n">
        <x:v>115.77</x:v>
      </x:c>
      <x:c r="I581" s="76" t="n">
        <x:f>G581*H581</x:f>
        <x:v>4630.8</x:v>
      </x:c>
      <x:c r="J581" s="76" t="n">
        <x:f>IFERROR(INDEX('Inventory'!$E$2:$E$71,MATCH(E581,'Inventory'!$A$2:$A$71,0)),0)</x:f>
        <x:v>9929</x:v>
      </x:c>
      <x:c r="K581" s="76" t="n">
        <x:f>IFERROR(INDEX('Inventory'!$F$2:$F$71,MATCH(E581,'Inventory'!$A$2:$A$71,0)),0)</x:f>
        <x:v>701</x:v>
      </x:c>
      <x:c r="L581" s="76" t="n">
        <x:f>SUMIFS('Open_POs'!$D$2:$D$26,'Open_POs'!$B$2:$B$26,E581,'Open_POs'!$E$2:$E$26,"&lt;="&amp;B581)</x:f>
        <x:v>0</x:v>
      </x:c>
      <x:c r="M581" s="76" t="n">
        <x:f>J581+L581</x:f>
        <x:v>9929</x:v>
      </x:c>
      <x:c r="N581" s="76" t="n">
        <x:f>SUMIFS($I$2:I581,$E$2:E581,E581)</x:f>
        <x:v>69962.3</x:v>
      </x:c>
      <x:c r="O581" s="76" t="n">
        <x:f>M581-N581</x:f>
        <x:v>-60033.3</x:v>
      </x:c>
      <x:c r="P581" s="71" t="str">
        <x:f>IF(O581&lt;0,"SHORT",IF(O581&lt;K581,"BELOW TARGET","COVERED"))</x:f>
        <x:v>SHORT</x:v>
      </x:c>
      <x:c r="Q581" s="63" t="str">
        <x:f>IF(AND(P581="SHORT",COUNTIFS($E$2:E581,E581,$P$2:P581,"SHORT")=1),B581,"")</x:f>
      </x:c>
    </x:row>
    <x:row r="582" ht="15" customHeight="1">
      <x:c r="A582" s="71" t="str">
        <x:v>SO-26085</x:v>
      </x:c>
      <x:c r="B582" s="75" t="n">
        <x:v>46293</x:v>
      </x:c>
      <x:c r="C582" s="71" t="str">
        <x:v>Normal</x:v>
      </x:c>
      <x:c r="D582" s="71" t="str">
        <x:v>FG-015</x:v>
      </x:c>
      <x:c r="E582" s="71" t="str">
        <x:v>RM-067</x:v>
      </x:c>
      <x:c r="F582" s="71" t="str">
        <x:v>Pigment 067</x:v>
      </x:c>
      <x:c r="G582" s="76" t="n">
        <x:v>40</x:v>
      </x:c>
      <x:c r="H582" s="76" t="n">
        <x:v>46.54</x:v>
      </x:c>
      <x:c r="I582" s="76" t="n">
        <x:f>G582*H582</x:f>
        <x:v>1861.6</x:v>
      </x:c>
      <x:c r="J582" s="76" t="n">
        <x:f>IFERROR(INDEX('Inventory'!$E$2:$E$71,MATCH(E582,'Inventory'!$A$2:$A$71,0)),0)</x:f>
        <x:v>10786</x:v>
      </x:c>
      <x:c r="K582" s="76" t="n">
        <x:f>IFERROR(INDEX('Inventory'!$F$2:$F$71,MATCH(E582,'Inventory'!$A$2:$A$71,0)),0)</x:f>
        <x:v>335</x:v>
      </x:c>
      <x:c r="L582" s="76" t="n">
        <x:f>SUMIFS('Open_POs'!$D$2:$D$26,'Open_POs'!$B$2:$B$26,E582,'Open_POs'!$E$2:$E$26,"&lt;="&amp;B582)</x:f>
        <x:v>0</x:v>
      </x:c>
      <x:c r="M582" s="76" t="n">
        <x:f>J582+L582</x:f>
        <x:v>10786</x:v>
      </x:c>
      <x:c r="N582" s="76" t="n">
        <x:f>SUMIFS($I$2:I582,$E$2:E582,E582)</x:f>
        <x:v>17198.6</x:v>
      </x:c>
      <x:c r="O582" s="76" t="n">
        <x:f>M582-N582</x:f>
        <x:v>-6412.5999999999985</x:v>
      </x:c>
      <x:c r="P582" s="71" t="str">
        <x:f>IF(O582&lt;0,"SHORT",IF(O582&lt;K582,"BELOW TARGET","COVERED"))</x:f>
        <x:v>SHORT</x:v>
      </x:c>
      <x:c r="Q582" s="63" t="str">
        <x:f>IF(AND(P582="SHORT",COUNTIFS($E$2:E582,E582,$P$2:P582,"SHORT")=1),B582,"")</x:f>
      </x:c>
    </x:row>
    <x:row r="583" ht="15" customHeight="1">
      <x:c r="A583" s="71" t="str">
        <x:v>SO-26028</x:v>
      </x:c>
      <x:c r="B583" s="75" t="n">
        <x:v>46294</x:v>
      </x:c>
      <x:c r="C583" s="71" t="str">
        <x:v>High</x:v>
      </x:c>
      <x:c r="D583" s="71" t="str">
        <x:v>FG-019</x:v>
      </x:c>
      <x:c r="E583" s="71" t="str">
        <x:v>RM-007</x:v>
      </x:c>
      <x:c r="F583" s="71" t="str">
        <x:v>Pigment 007</x:v>
      </x:c>
      <x:c r="G583" s="76" t="n">
        <x:v>100</x:v>
      </x:c>
      <x:c r="H583" s="76" t="n">
        <x:v>64.2</x:v>
      </x:c>
      <x:c r="I583" s="76" t="n">
        <x:f>G583*H583</x:f>
        <x:v>6420</x:v>
      </x:c>
      <x:c r="J583" s="76" t="n">
        <x:f>IFERROR(INDEX('Inventory'!$E$2:$E$71,MATCH(E583,'Inventory'!$A$2:$A$71,0)),0)</x:f>
        <x:v>9115</x:v>
      </x:c>
      <x:c r="K583" s="76" t="n">
        <x:f>IFERROR(INDEX('Inventory'!$F$2:$F$71,MATCH(E583,'Inventory'!$A$2:$A$71,0)),0)</x:f>
        <x:v>230</x:v>
      </x:c>
      <x:c r="L583" s="76" t="n">
        <x:f>SUMIFS('Open_POs'!$D$2:$D$26,'Open_POs'!$B$2:$B$26,E583,'Open_POs'!$E$2:$E$26,"&lt;="&amp;B583)</x:f>
        <x:v>2500</x:v>
      </x:c>
      <x:c r="M583" s="76" t="n">
        <x:f>J583+L583</x:f>
        <x:v>11615</x:v>
      </x:c>
      <x:c r="N583" s="76" t="n">
        <x:f>SUMIFS($I$2:I583,$E$2:E583,E583)</x:f>
        <x:v>34159.2</x:v>
      </x:c>
      <x:c r="O583" s="76" t="n">
        <x:f>M583-N583</x:f>
        <x:v>-22544.199999999997</x:v>
      </x:c>
      <x:c r="P583" s="71" t="str">
        <x:f>IF(O583&lt;0,"SHORT",IF(O583&lt;K583,"BELOW TARGET","COVERED"))</x:f>
        <x:v>SHORT</x:v>
      </x:c>
      <x:c r="Q583" s="63" t="str">
        <x:f>IF(AND(P583="SHORT",COUNTIFS($E$2:E583,E583,$P$2:P583,"SHORT")=1),B583,"")</x:f>
      </x:c>
    </x:row>
    <x:row r="584" ht="15" customHeight="1">
      <x:c r="A584" s="71" t="str">
        <x:v>SO-26028</x:v>
      </x:c>
      <x:c r="B584" s="75" t="n">
        <x:v>46294</x:v>
      </x:c>
      <x:c r="C584" s="71" t="str">
        <x:v>High</x:v>
      </x:c>
      <x:c r="D584" s="71" t="str">
        <x:v>FG-019</x:v>
      </x:c>
      <x:c r="E584" s="71" t="str">
        <x:v>RM-014</x:v>
      </x:c>
      <x:c r="F584" s="71" t="str">
        <x:v>Additive 014</x:v>
      </x:c>
      <x:c r="G584" s="76" t="n">
        <x:v>100</x:v>
      </x:c>
      <x:c r="H584" s="76" t="n">
        <x:v>61.33</x:v>
      </x:c>
      <x:c r="I584" s="76" t="n">
        <x:f>G584*H584</x:f>
        <x:v>6133</x:v>
      </x:c>
      <x:c r="J584" s="76" t="n">
        <x:f>IFERROR(INDEX('Inventory'!$E$2:$E$71,MATCH(E584,'Inventory'!$A$2:$A$71,0)),0)</x:f>
        <x:v>2788</x:v>
      </x:c>
      <x:c r="K584" s="76" t="n">
        <x:f>IFERROR(INDEX('Inventory'!$F$2:$F$71,MATCH(E584,'Inventory'!$A$2:$A$71,0)),0)</x:f>
        <x:v>1133</x:v>
      </x:c>
      <x:c r="L584" s="76" t="n">
        <x:f>SUMIFS('Open_POs'!$D$2:$D$26,'Open_POs'!$B$2:$B$26,E584,'Open_POs'!$E$2:$E$26,"&lt;="&amp;B584)</x:f>
        <x:v>0</x:v>
      </x:c>
      <x:c r="M584" s="76" t="n">
        <x:f>J584+L584</x:f>
        <x:v>2788</x:v>
      </x:c>
      <x:c r="N584" s="76" t="n">
        <x:f>SUMIFS($I$2:I584,$E$2:E584,E584)</x:f>
        <x:v>21465.5</x:v>
      </x:c>
      <x:c r="O584" s="76" t="n">
        <x:f>M584-N584</x:f>
        <x:v>-18677.5</x:v>
      </x:c>
      <x:c r="P584" s="71" t="str">
        <x:f>IF(O584&lt;0,"SHORT",IF(O584&lt;K584,"BELOW TARGET","COVERED"))</x:f>
        <x:v>SHORT</x:v>
      </x:c>
      <x:c r="Q584" s="63" t="str">
        <x:f>IF(AND(P584="SHORT",COUNTIFS($E$2:E584,E584,$P$2:P584,"SHORT")=1),B584,"")</x:f>
      </x:c>
    </x:row>
    <x:row r="585" ht="15" customHeight="1">
      <x:c r="A585" s="71" t="str">
        <x:v>SO-26028</x:v>
      </x:c>
      <x:c r="B585" s="75" t="n">
        <x:v>46294</x:v>
      </x:c>
      <x:c r="C585" s="71" t="str">
        <x:v>High</x:v>
      </x:c>
      <x:c r="D585" s="71" t="str">
        <x:v>FG-019</x:v>
      </x:c>
      <x:c r="E585" s="71" t="str">
        <x:v>RM-023</x:v>
      </x:c>
      <x:c r="F585" s="71" t="str">
        <x:v>Filler 023</x:v>
      </x:c>
      <x:c r="G585" s="76" t="n">
        <x:v>100</x:v>
      </x:c>
      <x:c r="H585" s="76" t="n">
        <x:v>34.53</x:v>
      </x:c>
      <x:c r="I585" s="76" t="n">
        <x:f>G585*H585</x:f>
        <x:v>3453</x:v>
      </x:c>
      <x:c r="J585" s="76" t="n">
        <x:f>IFERROR(INDEX('Inventory'!$E$2:$E$71,MATCH(E585,'Inventory'!$A$2:$A$71,0)),0)</x:f>
        <x:v>3401</x:v>
      </x:c>
      <x:c r="K585" s="76" t="n">
        <x:f>IFERROR(INDEX('Inventory'!$F$2:$F$71,MATCH(E585,'Inventory'!$A$2:$A$71,0)),0)</x:f>
        <x:v>418</x:v>
      </x:c>
      <x:c r="L585" s="76" t="n">
        <x:f>SUMIFS('Open_POs'!$D$2:$D$26,'Open_POs'!$B$2:$B$26,E585,'Open_POs'!$E$2:$E$26,"&lt;="&amp;B585)</x:f>
        <x:v>0</x:v>
      </x:c>
      <x:c r="M585" s="76" t="n">
        <x:f>J585+L585</x:f>
        <x:v>3401</x:v>
      </x:c>
      <x:c r="N585" s="76" t="n">
        <x:f>SUMIFS($I$2:I585,$E$2:E585,E585)</x:f>
        <x:v>24505</x:v>
      </x:c>
      <x:c r="O585" s="76" t="n">
        <x:f>M585-N585</x:f>
        <x:v>-21104</x:v>
      </x:c>
      <x:c r="P585" s="71" t="str">
        <x:f>IF(O585&lt;0,"SHORT",IF(O585&lt;K585,"BELOW TARGET","COVERED"))</x:f>
        <x:v>SHORT</x:v>
      </x:c>
      <x:c r="Q585" s="63" t="str">
        <x:f>IF(AND(P585="SHORT",COUNTIFS($E$2:E585,E585,$P$2:P585,"SHORT")=1),B585,"")</x:f>
      </x:c>
    </x:row>
    <x:row r="586" ht="15" customHeight="1">
      <x:c r="A586" s="71" t="str">
        <x:v>SO-26028</x:v>
      </x:c>
      <x:c r="B586" s="75" t="n">
        <x:v>46294</x:v>
      </x:c>
      <x:c r="C586" s="71" t="str">
        <x:v>High</x:v>
      </x:c>
      <x:c r="D586" s="71" t="str">
        <x:v>FG-019</x:v>
      </x:c>
      <x:c r="E586" s="71" t="str">
        <x:v>RM-033</x:v>
      </x:c>
      <x:c r="F586" s="71" t="str">
        <x:v>Filler 033</x:v>
      </x:c>
      <x:c r="G586" s="76" t="n">
        <x:v>100</x:v>
      </x:c>
      <x:c r="H586" s="76" t="n">
        <x:v>41.3</x:v>
      </x:c>
      <x:c r="I586" s="76" t="n">
        <x:f>G586*H586</x:f>
        <x:v>4130</x:v>
      </x:c>
      <x:c r="J586" s="76" t="n">
        <x:f>IFERROR(INDEX('Inventory'!$E$2:$E$71,MATCH(E586,'Inventory'!$A$2:$A$71,0)),0)</x:f>
        <x:v>4157</x:v>
      </x:c>
      <x:c r="K586" s="76" t="n">
        <x:f>IFERROR(INDEX('Inventory'!$F$2:$F$71,MATCH(E586,'Inventory'!$A$2:$A$71,0)),0)</x:f>
        <x:v>1030</x:v>
      </x:c>
      <x:c r="L586" s="76" t="n">
        <x:f>SUMIFS('Open_POs'!$D$2:$D$26,'Open_POs'!$B$2:$B$26,E586,'Open_POs'!$E$2:$E$26,"&lt;="&amp;B586)</x:f>
        <x:v>5000</x:v>
      </x:c>
      <x:c r="M586" s="76" t="n">
        <x:f>J586+L586</x:f>
        <x:v>9157</x:v>
      </x:c>
      <x:c r="N586" s="76" t="n">
        <x:f>SUMIFS($I$2:I586,$E$2:E586,E586)</x:f>
        <x:v>23483</x:v>
      </x:c>
      <x:c r="O586" s="76" t="n">
        <x:f>M586-N586</x:f>
        <x:v>-14326</x:v>
      </x:c>
      <x:c r="P586" s="71" t="str">
        <x:f>IF(O586&lt;0,"SHORT",IF(O586&lt;K586,"BELOW TARGET","COVERED"))</x:f>
        <x:v>SHORT</x:v>
      </x:c>
      <x:c r="Q586" s="63" t="str">
        <x:f>IF(AND(P586="SHORT",COUNTIFS($E$2:E586,E586,$P$2:P586,"SHORT")=1),B586,"")</x:f>
      </x:c>
    </x:row>
    <x:row r="587" ht="15" customHeight="1">
      <x:c r="A587" s="71" t="str">
        <x:v>SO-26028</x:v>
      </x:c>
      <x:c r="B587" s="75" t="n">
        <x:v>46294</x:v>
      </x:c>
      <x:c r="C587" s="71" t="str">
        <x:v>High</x:v>
      </x:c>
      <x:c r="D587" s="71" t="str">
        <x:v>FG-019</x:v>
      </x:c>
      <x:c r="E587" s="71" t="str">
        <x:v>RM-038</x:v>
      </x:c>
      <x:c r="F587" s="71" t="str">
        <x:v>Filler 038</x:v>
      </x:c>
      <x:c r="G587" s="76" t="n">
        <x:v>100</x:v>
      </x:c>
      <x:c r="H587" s="76" t="n">
        <x:v>50.34</x:v>
      </x:c>
      <x:c r="I587" s="76" t="n">
        <x:f>G587*H587</x:f>
        <x:v>5034</x:v>
      </x:c>
      <x:c r="J587" s="76" t="n">
        <x:f>IFERROR(INDEX('Inventory'!$E$2:$E$71,MATCH(E587,'Inventory'!$A$2:$A$71,0)),0)</x:f>
        <x:v>10042</x:v>
      </x:c>
      <x:c r="K587" s="76" t="n">
        <x:f>IFERROR(INDEX('Inventory'!$F$2:$F$71,MATCH(E587,'Inventory'!$A$2:$A$71,0)),0)</x:f>
        <x:v>1452</x:v>
      </x:c>
      <x:c r="L587" s="76" t="n">
        <x:f>SUMIFS('Open_POs'!$D$2:$D$26,'Open_POs'!$B$2:$B$26,E587,'Open_POs'!$E$2:$E$26,"&lt;="&amp;B587)</x:f>
        <x:v>10000</x:v>
      </x:c>
      <x:c r="M587" s="76" t="n">
        <x:f>J587+L587</x:f>
        <x:v>20042</x:v>
      </x:c>
      <x:c r="N587" s="76" t="n">
        <x:f>SUMIFS($I$2:I587,$E$2:E587,E587)</x:f>
        <x:v>43987.2</x:v>
      </x:c>
      <x:c r="O587" s="76" t="n">
        <x:f>M587-N587</x:f>
        <x:v>-23945.199999999997</x:v>
      </x:c>
      <x:c r="P587" s="71" t="str">
        <x:f>IF(O587&lt;0,"SHORT",IF(O587&lt;K587,"BELOW TARGET","COVERED"))</x:f>
        <x:v>SHORT</x:v>
      </x:c>
      <x:c r="Q587" s="63" t="str">
        <x:f>IF(AND(P587="SHORT",COUNTIFS($E$2:E587,E587,$P$2:P587,"SHORT")=1),B587,"")</x:f>
      </x:c>
    </x:row>
    <x:row r="588" ht="15" customHeight="1">
      <x:c r="A588" s="71" t="str">
        <x:v>SO-26028</x:v>
      </x:c>
      <x:c r="B588" s="75" t="n">
        <x:v>46294</x:v>
      </x:c>
      <x:c r="C588" s="71" t="str">
        <x:v>High</x:v>
      </x:c>
      <x:c r="D588" s="71" t="str">
        <x:v>FG-019</x:v>
      </x:c>
      <x:c r="E588" s="71" t="str">
        <x:v>RM-041</x:v>
      </x:c>
      <x:c r="F588" s="71" t="str">
        <x:v>Resin 041</x:v>
      </x:c>
      <x:c r="G588" s="76" t="n">
        <x:v>100</x:v>
      </x:c>
      <x:c r="H588" s="76" t="n">
        <x:v>9.3</x:v>
      </x:c>
      <x:c r="I588" s="76" t="n">
        <x:f>G588*H588</x:f>
        <x:v>930.0000000000001</x:v>
      </x:c>
      <x:c r="J588" s="76" t="n">
        <x:f>IFERROR(INDEX('Inventory'!$E$2:$E$71,MATCH(E588,'Inventory'!$A$2:$A$71,0)),0)</x:f>
        <x:v>4635</x:v>
      </x:c>
      <x:c r="K588" s="76" t="n">
        <x:f>IFERROR(INDEX('Inventory'!$F$2:$F$71,MATCH(E588,'Inventory'!$A$2:$A$71,0)),0)</x:f>
        <x:v>987</x:v>
      </x:c>
      <x:c r="L588" s="76" t="n">
        <x:f>SUMIFS('Open_POs'!$D$2:$D$26,'Open_POs'!$B$2:$B$26,E588,'Open_POs'!$E$2:$E$26,"&lt;="&amp;B588)</x:f>
        <x:v>0</x:v>
      </x:c>
      <x:c r="M588" s="76" t="n">
        <x:f>J588+L588</x:f>
        <x:v>4635</x:v>
      </x:c>
      <x:c r="N588" s="76" t="n">
        <x:f>SUMIFS($I$2:I588,$E$2:E588,E588)</x:f>
        <x:v>28758</x:v>
      </x:c>
      <x:c r="O588" s="76" t="n">
        <x:f>M588-N588</x:f>
        <x:v>-24123</x:v>
      </x:c>
      <x:c r="P588" s="71" t="str">
        <x:f>IF(O588&lt;0,"SHORT",IF(O588&lt;K588,"BELOW TARGET","COVERED"))</x:f>
        <x:v>SHORT</x:v>
      </x:c>
      <x:c r="Q588" s="63" t="str">
        <x:f>IF(AND(P588="SHORT",COUNTIFS($E$2:E588,E588,$P$2:P588,"SHORT")=1),B588,"")</x:f>
      </x:c>
    </x:row>
    <x:row r="589" ht="15" customHeight="1">
      <x:c r="A589" s="71" t="str">
        <x:v>SO-26028</x:v>
      </x:c>
      <x:c r="B589" s="75" t="n">
        <x:v>46294</x:v>
      </x:c>
      <x:c r="C589" s="71" t="str">
        <x:v>High</x:v>
      </x:c>
      <x:c r="D589" s="71" t="str">
        <x:v>FG-019</x:v>
      </x:c>
      <x:c r="E589" s="71" t="str">
        <x:v>RM-048</x:v>
      </x:c>
      <x:c r="F589" s="71" t="str">
        <x:v>Filler 048</x:v>
      </x:c>
      <x:c r="G589" s="76" t="n">
        <x:v>100</x:v>
      </x:c>
      <x:c r="H589" s="76" t="n">
        <x:v>41.51</x:v>
      </x:c>
      <x:c r="I589" s="76" t="n">
        <x:f>G589*H589</x:f>
        <x:v>4151</x:v>
      </x:c>
      <x:c r="J589" s="76" t="n">
        <x:f>IFERROR(INDEX('Inventory'!$E$2:$E$71,MATCH(E589,'Inventory'!$A$2:$A$71,0)),0)</x:f>
        <x:v>637</x:v>
      </x:c>
      <x:c r="K589" s="76" t="n">
        <x:f>IFERROR(INDEX('Inventory'!$F$2:$F$71,MATCH(E589,'Inventory'!$A$2:$A$71,0)),0)</x:f>
        <x:v>888</x:v>
      </x:c>
      <x:c r="L589" s="76" t="n">
        <x:f>SUMIFS('Open_POs'!$D$2:$D$26,'Open_POs'!$B$2:$B$26,E589,'Open_POs'!$E$2:$E$26,"&lt;="&amp;B589)</x:f>
        <x:v>1000</x:v>
      </x:c>
      <x:c r="M589" s="76" t="n">
        <x:f>J589+L589</x:f>
        <x:v>1637</x:v>
      </x:c>
      <x:c r="N589" s="76" t="n">
        <x:f>SUMIFS($I$2:I589,$E$2:E589,E589)</x:f>
        <x:v>31236.1</x:v>
      </x:c>
      <x:c r="O589" s="76" t="n">
        <x:f>M589-N589</x:f>
        <x:v>-29599.1</x:v>
      </x:c>
      <x:c r="P589" s="71" t="str">
        <x:f>IF(O589&lt;0,"SHORT",IF(O589&lt;K589,"BELOW TARGET","COVERED"))</x:f>
        <x:v>SHORT</x:v>
      </x:c>
      <x:c r="Q589" s="63" t="str">
        <x:f>IF(AND(P589="SHORT",COUNTIFS($E$2:E589,E589,$P$2:P589,"SHORT")=1),B589,"")</x:f>
      </x:c>
    </x:row>
    <x:row r="590" ht="15" customHeight="1">
      <x:c r="A590" s="71" t="str">
        <x:v>SO-26028</x:v>
      </x:c>
      <x:c r="B590" s="75" t="n">
        <x:v>46294</x:v>
      </x:c>
      <x:c r="C590" s="71" t="str">
        <x:v>High</x:v>
      </x:c>
      <x:c r="D590" s="71" t="str">
        <x:v>FG-019</x:v>
      </x:c>
      <x:c r="E590" s="71" t="str">
        <x:v>RM-062</x:v>
      </x:c>
      <x:c r="F590" s="71" t="str">
        <x:v>Pigment 062</x:v>
      </x:c>
      <x:c r="G590" s="76" t="n">
        <x:v>100</x:v>
      </x:c>
      <x:c r="H590" s="76" t="n">
        <x:v>9</x:v>
      </x:c>
      <x:c r="I590" s="76" t="n">
        <x:f>G590*H590</x:f>
        <x:v>900</x:v>
      </x:c>
      <x:c r="J590" s="76" t="n">
        <x:f>IFERROR(INDEX('Inventory'!$E$2:$E$71,MATCH(E590,'Inventory'!$A$2:$A$71,0)),0)</x:f>
        <x:v>7110</x:v>
      </x:c>
      <x:c r="K590" s="76" t="n">
        <x:f>IFERROR(INDEX('Inventory'!$F$2:$F$71,MATCH(E590,'Inventory'!$A$2:$A$71,0)),0)</x:f>
        <x:v>1339</x:v>
      </x:c>
      <x:c r="L590" s="76" t="n">
        <x:f>SUMIFS('Open_POs'!$D$2:$D$26,'Open_POs'!$B$2:$B$26,E590,'Open_POs'!$E$2:$E$26,"&lt;="&amp;B590)</x:f>
        <x:v>1000</x:v>
      </x:c>
      <x:c r="M590" s="76" t="n">
        <x:f>J590+L590</x:f>
        <x:v>8110</x:v>
      </x:c>
      <x:c r="N590" s="76" t="n">
        <x:f>SUMIFS($I$2:I590,$E$2:E590,E590)</x:f>
        <x:v>10566.3</x:v>
      </x:c>
      <x:c r="O590" s="76" t="n">
        <x:f>M590-N590</x:f>
        <x:v>-2456.2999999999993</x:v>
      </x:c>
      <x:c r="P590" s="71" t="str">
        <x:f>IF(O590&lt;0,"SHORT",IF(O590&lt;K590,"BELOW TARGET","COVERED"))</x:f>
        <x:v>SHORT</x:v>
      </x:c>
      <x:c r="Q590" s="63" t="str">
        <x:f>IF(AND(P590="SHORT",COUNTIFS($E$2:E590,E590,$P$2:P590,"SHORT")=1),B590,"")</x:f>
      </x:c>
    </x:row>
    <x:row r="591" ht="15" customHeight="1">
      <x:c r="A591" s="71" t="str">
        <x:v>SO-26070</x:v>
      </x:c>
      <x:c r="B591" s="75" t="n">
        <x:v>46294</x:v>
      </x:c>
      <x:c r="C591" s="71" t="str">
        <x:v>High</x:v>
      </x:c>
      <x:c r="D591" s="71" t="str">
        <x:v>FG-023</x:v>
      </x:c>
      <x:c r="E591" s="71" t="str">
        <x:v>RM-010</x:v>
      </x:c>
      <x:c r="F591" s="71" t="str">
        <x:v>Packaging 010</x:v>
      </x:c>
      <x:c r="G591" s="76" t="n">
        <x:v>60</x:v>
      </x:c>
      <x:c r="H591" s="76" t="n">
        <x:v>59.53</x:v>
      </x:c>
      <x:c r="I591" s="76" t="n">
        <x:f>G591*H591</x:f>
        <x:v>3571.8</x:v>
      </x:c>
      <x:c r="J591" s="76" t="n">
        <x:f>IFERROR(INDEX('Inventory'!$E$2:$E$71,MATCH(E591,'Inventory'!$A$2:$A$71,0)),0)</x:f>
        <x:v>14191</x:v>
      </x:c>
      <x:c r="K591" s="76" t="n">
        <x:f>IFERROR(INDEX('Inventory'!$F$2:$F$71,MATCH(E591,'Inventory'!$A$2:$A$71,0)),0)</x:f>
        <x:v>615</x:v>
      </x:c>
      <x:c r="L591" s="76" t="n">
        <x:f>SUMIFS('Open_POs'!$D$2:$D$26,'Open_POs'!$B$2:$B$26,E591,'Open_POs'!$E$2:$E$26,"&lt;="&amp;B591)</x:f>
        <x:v>0</x:v>
      </x:c>
      <x:c r="M591" s="76" t="n">
        <x:f>J591+L591</x:f>
        <x:v>14191</x:v>
      </x:c>
      <x:c r="N591" s="76" t="n">
        <x:f>SUMIFS($I$2:I591,$E$2:E591,E591)</x:f>
        <x:v>77666.30000000002</x:v>
      </x:c>
      <x:c r="O591" s="76" t="n">
        <x:f>M591-N591</x:f>
        <x:v>-63475.30000000002</x:v>
      </x:c>
      <x:c r="P591" s="71" t="str">
        <x:f>IF(O591&lt;0,"SHORT",IF(O591&lt;K591,"BELOW TARGET","COVERED"))</x:f>
        <x:v>SHORT</x:v>
      </x:c>
      <x:c r="Q591" s="63" t="str">
        <x:f>IF(AND(P591="SHORT",COUNTIFS($E$2:E591,E591,$P$2:P591,"SHORT")=1),B591,"")</x:f>
      </x:c>
    </x:row>
    <x:row r="592" ht="15" customHeight="1">
      <x:c r="A592" s="71" t="str">
        <x:v>SO-26070</x:v>
      </x:c>
      <x:c r="B592" s="75" t="n">
        <x:v>46294</x:v>
      </x:c>
      <x:c r="C592" s="71" t="str">
        <x:v>High</x:v>
      </x:c>
      <x:c r="D592" s="71" t="str">
        <x:v>FG-023</x:v>
      </x:c>
      <x:c r="E592" s="71" t="str">
        <x:v>RM-032</x:v>
      </x:c>
      <x:c r="F592" s="71" t="str">
        <x:v>Pigment 032</x:v>
      </x:c>
      <x:c r="G592" s="76" t="n">
        <x:v>60</x:v>
      </x:c>
      <x:c r="H592" s="76" t="n">
        <x:v>80.54</x:v>
      </x:c>
      <x:c r="I592" s="76" t="n">
        <x:f>G592*H592</x:f>
        <x:v>4832.400000000001</x:v>
      </x:c>
      <x:c r="J592" s="76" t="n">
        <x:f>IFERROR(INDEX('Inventory'!$E$2:$E$71,MATCH(E592,'Inventory'!$A$2:$A$71,0)),0)</x:f>
        <x:v>674</x:v>
      </x:c>
      <x:c r="K592" s="76" t="n">
        <x:f>IFERROR(INDEX('Inventory'!$F$2:$F$71,MATCH(E592,'Inventory'!$A$2:$A$71,0)),0)</x:f>
        <x:v>1056</x:v>
      </x:c>
      <x:c r="L592" s="76" t="n">
        <x:f>SUMIFS('Open_POs'!$D$2:$D$26,'Open_POs'!$B$2:$B$26,E592,'Open_POs'!$E$2:$E$26,"&lt;="&amp;B592)</x:f>
        <x:v>2500</x:v>
      </x:c>
      <x:c r="M592" s="76" t="n">
        <x:f>J592+L592</x:f>
        <x:v>3174</x:v>
      </x:c>
      <x:c r="N592" s="76" t="n">
        <x:f>SUMIFS($I$2:I592,$E$2:E592,E592)</x:f>
        <x:v>76657.59999999999</x:v>
      </x:c>
      <x:c r="O592" s="76" t="n">
        <x:f>M592-N592</x:f>
        <x:v>-73483.59999999999</x:v>
      </x:c>
      <x:c r="P592" s="71" t="str">
        <x:f>IF(O592&lt;0,"SHORT",IF(O592&lt;K592,"BELOW TARGET","COVERED"))</x:f>
        <x:v>SHORT</x:v>
      </x:c>
      <x:c r="Q592" s="63" t="str">
        <x:f>IF(AND(P592="SHORT",COUNTIFS($E$2:E592,E592,$P$2:P592,"SHORT")=1),B592,"")</x:f>
      </x:c>
    </x:row>
    <x:row r="593" ht="15" customHeight="1">
      <x:c r="A593" s="71" t="str">
        <x:v>SO-26070</x:v>
      </x:c>
      <x:c r="B593" s="75" t="n">
        <x:v>46294</x:v>
      </x:c>
      <x:c r="C593" s="71" t="str">
        <x:v>High</x:v>
      </x:c>
      <x:c r="D593" s="71" t="str">
        <x:v>FG-023</x:v>
      </x:c>
      <x:c r="E593" s="71" t="str">
        <x:v>RM-046</x:v>
      </x:c>
      <x:c r="F593" s="71" t="str">
        <x:v>Resin 046</x:v>
      </x:c>
      <x:c r="G593" s="76" t="n">
        <x:v>60</x:v>
      </x:c>
      <x:c r="H593" s="76" t="n">
        <x:v>65.28</x:v>
      </x:c>
      <x:c r="I593" s="76" t="n">
        <x:f>G593*H593</x:f>
        <x:v>3916.8</x:v>
      </x:c>
      <x:c r="J593" s="76" t="n">
        <x:f>IFERROR(INDEX('Inventory'!$E$2:$E$71,MATCH(E593,'Inventory'!$A$2:$A$71,0)),0)</x:f>
        <x:v>15936</x:v>
      </x:c>
      <x:c r="K593" s="76" t="n">
        <x:f>IFERROR(INDEX('Inventory'!$F$2:$F$71,MATCH(E593,'Inventory'!$A$2:$A$71,0)),0)</x:f>
        <x:v>991</x:v>
      </x:c>
      <x:c r="L593" s="76" t="n">
        <x:f>SUMIFS('Open_POs'!$D$2:$D$26,'Open_POs'!$B$2:$B$26,E593,'Open_POs'!$E$2:$E$26,"&lt;="&amp;B593)</x:f>
        <x:v>0</x:v>
      </x:c>
      <x:c r="M593" s="76" t="n">
        <x:f>J593+L593</x:f>
        <x:v>15936</x:v>
      </x:c>
      <x:c r="N593" s="76" t="n">
        <x:f>SUMIFS($I$2:I593,$E$2:E593,E593)</x:f>
        <x:v>18349.800000000003</x:v>
      </x:c>
      <x:c r="O593" s="76" t="n">
        <x:f>M593-N593</x:f>
        <x:v>-2413.800000000003</x:v>
      </x:c>
      <x:c r="P593" s="71" t="str">
        <x:f>IF(O593&lt;0,"SHORT",IF(O593&lt;K593,"BELOW TARGET","COVERED"))</x:f>
        <x:v>SHORT</x:v>
      </x:c>
      <x:c r="Q593" s="63" t="n">
        <x:f>IF(AND(P593="SHORT",COUNTIFS($E$2:E593,E593,$P$2:P593,"SHORT")=1),B593,"")</x:f>
        <x:v>46294</x:v>
      </x:c>
    </x:row>
    <x:row r="594" ht="15" customHeight="1">
      <x:c r="A594" s="71" t="str">
        <x:v>SO-26070</x:v>
      </x:c>
      <x:c r="B594" s="75" t="n">
        <x:v>46294</x:v>
      </x:c>
      <x:c r="C594" s="71" t="str">
        <x:v>High</x:v>
      </x:c>
      <x:c r="D594" s="71" t="str">
        <x:v>FG-023</x:v>
      </x:c>
      <x:c r="E594" s="71" t="str">
        <x:v>RM-053</x:v>
      </x:c>
      <x:c r="F594" s="71" t="str">
        <x:v>Filler 053</x:v>
      </x:c>
      <x:c r="G594" s="76" t="n">
        <x:v>60</x:v>
      </x:c>
      <x:c r="H594" s="76" t="n">
        <x:v>39.3</x:v>
      </x:c>
      <x:c r="I594" s="76" t="n">
        <x:f>G594*H594</x:f>
        <x:v>2358</x:v>
      </x:c>
      <x:c r="J594" s="76" t="n">
        <x:f>IFERROR(INDEX('Inventory'!$E$2:$E$71,MATCH(E594,'Inventory'!$A$2:$A$71,0)),0)</x:f>
        <x:v>3714</x:v>
      </x:c>
      <x:c r="K594" s="76" t="n">
        <x:f>IFERROR(INDEX('Inventory'!$F$2:$F$71,MATCH(E594,'Inventory'!$A$2:$A$71,0)),0)</x:f>
        <x:v>773</x:v>
      </x:c>
      <x:c r="L594" s="76" t="n">
        <x:f>SUMIFS('Open_POs'!$D$2:$D$26,'Open_POs'!$B$2:$B$26,E594,'Open_POs'!$E$2:$E$26,"&lt;="&amp;B594)</x:f>
        <x:v>0</x:v>
      </x:c>
      <x:c r="M594" s="76" t="n">
        <x:f>J594+L594</x:f>
        <x:v>3714</x:v>
      </x:c>
      <x:c r="N594" s="76" t="n">
        <x:f>SUMIFS($I$2:I594,$E$2:E594,E594)</x:f>
        <x:v>33633.200000000004</x:v>
      </x:c>
      <x:c r="O594" s="76" t="n">
        <x:f>M594-N594</x:f>
        <x:v>-29919.200000000004</x:v>
      </x:c>
      <x:c r="P594" s="71" t="str">
        <x:f>IF(O594&lt;0,"SHORT",IF(O594&lt;K594,"BELOW TARGET","COVERED"))</x:f>
        <x:v>SHORT</x:v>
      </x:c>
      <x:c r="Q594" s="63" t="str">
        <x:f>IF(AND(P594="SHORT",COUNTIFS($E$2:E594,E594,$P$2:P594,"SHORT")=1),B594,"")</x:f>
      </x:c>
    </x:row>
    <x:row r="595" ht="15" customHeight="1">
      <x:c r="A595" s="71" t="str">
        <x:v>SO-26070</x:v>
      </x:c>
      <x:c r="B595" s="75" t="n">
        <x:v>46294</x:v>
      </x:c>
      <x:c r="C595" s="71" t="str">
        <x:v>High</x:v>
      </x:c>
      <x:c r="D595" s="71" t="str">
        <x:v>FG-023</x:v>
      </x:c>
      <x:c r="E595" s="71" t="str">
        <x:v>RM-059</x:v>
      </x:c>
      <x:c r="F595" s="71" t="str">
        <x:v>Additive 059</x:v>
      </x:c>
      <x:c r="G595" s="76" t="n">
        <x:v>60</x:v>
      </x:c>
      <x:c r="H595" s="76" t="n">
        <x:v>62.42</x:v>
      </x:c>
      <x:c r="I595" s="76" t="n">
        <x:f>G595*H595</x:f>
        <x:v>3745.2000000000003</x:v>
      </x:c>
      <x:c r="J595" s="76" t="n">
        <x:f>IFERROR(INDEX('Inventory'!$E$2:$E$71,MATCH(E595,'Inventory'!$A$2:$A$71,0)),0)</x:f>
        <x:v>10488</x:v>
      </x:c>
      <x:c r="K595" s="76" t="n">
        <x:f>IFERROR(INDEX('Inventory'!$F$2:$F$71,MATCH(E595,'Inventory'!$A$2:$A$71,0)),0)</x:f>
        <x:v>1442</x:v>
      </x:c>
      <x:c r="L595" s="76" t="n">
        <x:f>SUMIFS('Open_POs'!$D$2:$D$26,'Open_POs'!$B$2:$B$26,E595,'Open_POs'!$E$2:$E$26,"&lt;="&amp;B595)</x:f>
        <x:v>5000</x:v>
      </x:c>
      <x:c r="M595" s="76" t="n">
        <x:f>J595+L595</x:f>
        <x:v>15488</x:v>
      </x:c>
      <x:c r="N595" s="76" t="n">
        <x:f>SUMIFS($I$2:I595,$E$2:E595,E595)</x:f>
        <x:v>62310.3</x:v>
      </x:c>
      <x:c r="O595" s="76" t="n">
        <x:f>M595-N595</x:f>
        <x:v>-46822.3</x:v>
      </x:c>
      <x:c r="P595" s="71" t="str">
        <x:f>IF(O595&lt;0,"SHORT",IF(O595&lt;K595,"BELOW TARGET","COVERED"))</x:f>
        <x:v>SHORT</x:v>
      </x:c>
      <x:c r="Q595" s="63" t="str">
        <x:f>IF(AND(P595="SHORT",COUNTIFS($E$2:E595,E595,$P$2:P595,"SHORT")=1),B595,"")</x:f>
      </x:c>
    </x:row>
    <x:row r="596" ht="15" customHeight="1">
      <x:c r="A596" s="71" t="str">
        <x:v>SO-26070</x:v>
      </x:c>
      <x:c r="B596" s="75" t="n">
        <x:v>46294</x:v>
      </x:c>
      <x:c r="C596" s="71" t="str">
        <x:v>High</x:v>
      </x:c>
      <x:c r="D596" s="71" t="str">
        <x:v>FG-023</x:v>
      </x:c>
      <x:c r="E596" s="71" t="str">
        <x:v>RM-060</x:v>
      </x:c>
      <x:c r="F596" s="71" t="str">
        <x:v>Packaging 060</x:v>
      </x:c>
      <x:c r="G596" s="76" t="n">
        <x:v>60</x:v>
      </x:c>
      <x:c r="H596" s="76" t="n">
        <x:v>48.46</x:v>
      </x:c>
      <x:c r="I596" s="76" t="n">
        <x:f>G596*H596</x:f>
        <x:v>2907.6</x:v>
      </x:c>
      <x:c r="J596" s="76" t="n">
        <x:f>IFERROR(INDEX('Inventory'!$E$2:$E$71,MATCH(E596,'Inventory'!$A$2:$A$71,0)),0)</x:f>
        <x:v>17534</x:v>
      </x:c>
      <x:c r="K596" s="76" t="n">
        <x:f>IFERROR(INDEX('Inventory'!$F$2:$F$71,MATCH(E596,'Inventory'!$A$2:$A$71,0)),0)</x:f>
        <x:v>189</x:v>
      </x:c>
      <x:c r="L596" s="76" t="n">
        <x:f>SUMIFS('Open_POs'!$D$2:$D$26,'Open_POs'!$B$2:$B$26,E596,'Open_POs'!$E$2:$E$26,"&lt;="&amp;B596)</x:f>
        <x:v>5000</x:v>
      </x:c>
      <x:c r="M596" s="76" t="n">
        <x:f>J596+L596</x:f>
        <x:v>22534</x:v>
      </x:c>
      <x:c r="N596" s="76" t="n">
        <x:f>SUMIFS($I$2:I596,$E$2:E596,E596)</x:f>
        <x:v>17048.399999999998</x:v>
      </x:c>
      <x:c r="O596" s="76" t="n">
        <x:f>M596-N596</x:f>
        <x:v>5485.600000000002</x:v>
      </x:c>
      <x:c r="P596" s="71" t="str">
        <x:f>IF(O596&lt;0,"SHORT",IF(O596&lt;K596,"BELOW TARGET","COVERED"))</x:f>
        <x:v>COVERED</x:v>
      </x:c>
      <x:c r="Q596" s="63" t="str">
        <x:f>IF(AND(P596="SHORT",COUNTIFS($E$2:E596,E596,$P$2:P596,"SHORT")=1),B596,"")</x:f>
      </x:c>
    </x:row>
    <x:row r="597" ht="15" customHeight="1">
      <x:c r="A597" s="71" t="str">
        <x:v>SO-26070</x:v>
      </x:c>
      <x:c r="B597" s="75" t="n">
        <x:v>46294</x:v>
      </x:c>
      <x:c r="C597" s="71" t="str">
        <x:v>High</x:v>
      </x:c>
      <x:c r="D597" s="71" t="str">
        <x:v>FG-023</x:v>
      </x:c>
      <x:c r="E597" s="71" t="str">
        <x:v>RM-067</x:v>
      </x:c>
      <x:c r="F597" s="71" t="str">
        <x:v>Pigment 067</x:v>
      </x:c>
      <x:c r="G597" s="76" t="n">
        <x:v>60</x:v>
      </x:c>
      <x:c r="H597" s="76" t="n">
        <x:v>43.39</x:v>
      </x:c>
      <x:c r="I597" s="76" t="n">
        <x:f>G597*H597</x:f>
        <x:v>2603.4</x:v>
      </x:c>
      <x:c r="J597" s="76" t="n">
        <x:f>IFERROR(INDEX('Inventory'!$E$2:$E$71,MATCH(E597,'Inventory'!$A$2:$A$71,0)),0)</x:f>
        <x:v>10786</x:v>
      </x:c>
      <x:c r="K597" s="76" t="n">
        <x:f>IFERROR(INDEX('Inventory'!$F$2:$F$71,MATCH(E597,'Inventory'!$A$2:$A$71,0)),0)</x:f>
        <x:v>335</x:v>
      </x:c>
      <x:c r="L597" s="76" t="n">
        <x:f>SUMIFS('Open_POs'!$D$2:$D$26,'Open_POs'!$B$2:$B$26,E597,'Open_POs'!$E$2:$E$26,"&lt;="&amp;B597)</x:f>
        <x:v>0</x:v>
      </x:c>
      <x:c r="M597" s="76" t="n">
        <x:f>J597+L597</x:f>
        <x:v>10786</x:v>
      </x:c>
      <x:c r="N597" s="76" t="n">
        <x:f>SUMIFS($I$2:I597,$E$2:E597,E597)</x:f>
        <x:v>19802</x:v>
      </x:c>
      <x:c r="O597" s="76" t="n">
        <x:f>M597-N597</x:f>
        <x:v>-9016</x:v>
      </x:c>
      <x:c r="P597" s="71" t="str">
        <x:f>IF(O597&lt;0,"SHORT",IF(O597&lt;K597,"BELOW TARGET","COVERED"))</x:f>
        <x:v>SHORT</x:v>
      </x:c>
      <x:c r="Q597" s="63" t="str">
        <x:f>IF(AND(P597="SHORT",COUNTIFS($E$2:E597,E597,$P$2:P597,"SHORT")=1),B597,"")</x:f>
      </x:c>
    </x:row>
    <x:row r="598" ht="15" customHeight="1">
      <x:c r="A598" s="71" t="str">
        <x:v>SO-26078</x:v>
      </x:c>
      <x:c r="B598" s="75" t="n">
        <x:v>46295</x:v>
      </x:c>
      <x:c r="C598" s="71" t="str">
        <x:v>High</x:v>
      </x:c>
      <x:c r="D598" s="71" t="str">
        <x:v>FG-002</x:v>
      </x:c>
      <x:c r="E598" s="71" t="str">
        <x:v>RM-009</x:v>
      </x:c>
      <x:c r="F598" s="71" t="str">
        <x:v>Additive 009</x:v>
      </x:c>
      <x:c r="G598" s="76" t="n">
        <x:v>30</x:v>
      </x:c>
      <x:c r="H598" s="76" t="n">
        <x:v>117.77</x:v>
      </x:c>
      <x:c r="I598" s="76" t="n">
        <x:f>G598*H598</x:f>
        <x:v>3533.1</x:v>
      </x:c>
      <x:c r="J598" s="76" t="n">
        <x:f>IFERROR(INDEX('Inventory'!$E$2:$E$71,MATCH(E598,'Inventory'!$A$2:$A$71,0)),0)</x:f>
        <x:v>13813</x:v>
      </x:c>
      <x:c r="K598" s="76" t="n">
        <x:f>IFERROR(INDEX('Inventory'!$F$2:$F$71,MATCH(E598,'Inventory'!$A$2:$A$71,0)),0)</x:f>
        <x:v>1377</x:v>
      </x:c>
      <x:c r="L598" s="76" t="n">
        <x:f>SUMIFS('Open_POs'!$D$2:$D$26,'Open_POs'!$B$2:$B$26,E598,'Open_POs'!$E$2:$E$26,"&lt;="&amp;B598)</x:f>
        <x:v>0</x:v>
      </x:c>
      <x:c r="M598" s="76" t="n">
        <x:f>J598+L598</x:f>
        <x:v>13813</x:v>
      </x:c>
      <x:c r="N598" s="76" t="n">
        <x:f>SUMIFS($I$2:I598,$E$2:E598,E598)</x:f>
        <x:v>61750.4</x:v>
      </x:c>
      <x:c r="O598" s="76" t="n">
        <x:f>M598-N598</x:f>
        <x:v>-47937.4</x:v>
      </x:c>
      <x:c r="P598" s="71" t="str">
        <x:f>IF(O598&lt;0,"SHORT",IF(O598&lt;K598,"BELOW TARGET","COVERED"))</x:f>
        <x:v>SHORT</x:v>
      </x:c>
      <x:c r="Q598" s="63" t="str">
        <x:f>IF(AND(P598="SHORT",COUNTIFS($E$2:E598,E598,$P$2:P598,"SHORT")=1),B598,"")</x:f>
      </x:c>
    </x:row>
    <x:row r="599" ht="15" customHeight="1">
      <x:c r="A599" s="71" t="str">
        <x:v>SO-26078</x:v>
      </x:c>
      <x:c r="B599" s="75" t="n">
        <x:v>46295</x:v>
      </x:c>
      <x:c r="C599" s="71" t="str">
        <x:v>High</x:v>
      </x:c>
      <x:c r="D599" s="71" t="str">
        <x:v>FG-002</x:v>
      </x:c>
      <x:c r="E599" s="71" t="str">
        <x:v>RM-011</x:v>
      </x:c>
      <x:c r="F599" s="71" t="str">
        <x:v>Resin 011</x:v>
      </x:c>
      <x:c r="G599" s="76" t="n">
        <x:v>30</x:v>
      </x:c>
      <x:c r="H599" s="76" t="n">
        <x:v>52.57</x:v>
      </x:c>
      <x:c r="I599" s="76" t="n">
        <x:f>G599*H599</x:f>
        <x:v>1577.1</x:v>
      </x:c>
      <x:c r="J599" s="76" t="n">
        <x:f>IFERROR(INDEX('Inventory'!$E$2:$E$71,MATCH(E599,'Inventory'!$A$2:$A$71,0)),0)</x:f>
        <x:v>16410</x:v>
      </x:c>
      <x:c r="K599" s="76" t="n">
        <x:f>IFERROR(INDEX('Inventory'!$F$2:$F$71,MATCH(E599,'Inventory'!$A$2:$A$71,0)),0)</x:f>
        <x:v>1275</x:v>
      </x:c>
      <x:c r="L599" s="76" t="n">
        <x:f>SUMIFS('Open_POs'!$D$2:$D$26,'Open_POs'!$B$2:$B$26,E599,'Open_POs'!$E$2:$E$26,"&lt;="&amp;B599)</x:f>
        <x:v>0</x:v>
      </x:c>
      <x:c r="M599" s="76" t="n">
        <x:f>J599+L599</x:f>
        <x:v>16410</x:v>
      </x:c>
      <x:c r="N599" s="76" t="n">
        <x:f>SUMIFS($I$2:I599,$E$2:E599,E599)</x:f>
        <x:v>40844.7</x:v>
      </x:c>
      <x:c r="O599" s="76" t="n">
        <x:f>M599-N599</x:f>
        <x:v>-24434.699999999997</x:v>
      </x:c>
      <x:c r="P599" s="71" t="str">
        <x:f>IF(O599&lt;0,"SHORT",IF(O599&lt;K599,"BELOW TARGET","COVERED"))</x:f>
        <x:v>SHORT</x:v>
      </x:c>
      <x:c r="Q599" s="63" t="str">
        <x:f>IF(AND(P599="SHORT",COUNTIFS($E$2:E599,E599,$P$2:P599,"SHORT")=1),B599,"")</x:f>
      </x:c>
    </x:row>
    <x:row r="600" ht="15" customHeight="1">
      <x:c r="A600" s="71" t="str">
        <x:v>SO-26078</x:v>
      </x:c>
      <x:c r="B600" s="75" t="n">
        <x:v>46295</x:v>
      </x:c>
      <x:c r="C600" s="71" t="str">
        <x:v>High</x:v>
      </x:c>
      <x:c r="D600" s="71" t="str">
        <x:v>FG-002</x:v>
      </x:c>
      <x:c r="E600" s="71" t="str">
        <x:v>RM-026</x:v>
      </x:c>
      <x:c r="F600" s="71" t="str">
        <x:v>Resin 026</x:v>
      </x:c>
      <x:c r="G600" s="76" t="n">
        <x:v>30</x:v>
      </x:c>
      <x:c r="H600" s="76" t="n">
        <x:v>45.6</x:v>
      </x:c>
      <x:c r="I600" s="76" t="n">
        <x:f>G600*H600</x:f>
        <x:v>1368</x:v>
      </x:c>
      <x:c r="J600" s="76" t="n">
        <x:f>IFERROR(INDEX('Inventory'!$E$2:$E$71,MATCH(E600,'Inventory'!$A$2:$A$71,0)),0)</x:f>
        <x:v>1771</x:v>
      </x:c>
      <x:c r="K600" s="76" t="n">
        <x:f>IFERROR(INDEX('Inventory'!$F$2:$F$71,MATCH(E600,'Inventory'!$A$2:$A$71,0)),0)</x:f>
        <x:v>1475</x:v>
      </x:c>
      <x:c r="L600" s="76" t="n">
        <x:f>SUMIFS('Open_POs'!$D$2:$D$26,'Open_POs'!$B$2:$B$26,E600,'Open_POs'!$E$2:$E$26,"&lt;="&amp;B600)</x:f>
        <x:v>0</x:v>
      </x:c>
      <x:c r="M600" s="76" t="n">
        <x:f>J600+L600</x:f>
        <x:v>1771</x:v>
      </x:c>
      <x:c r="N600" s="76" t="n">
        <x:f>SUMIFS($I$2:I600,$E$2:E600,E600)</x:f>
        <x:v>22902.4</x:v>
      </x:c>
      <x:c r="O600" s="76" t="n">
        <x:f>M600-N600</x:f>
        <x:v>-21131.4</x:v>
      </x:c>
      <x:c r="P600" s="71" t="str">
        <x:f>IF(O600&lt;0,"SHORT",IF(O600&lt;K600,"BELOW TARGET","COVERED"))</x:f>
        <x:v>SHORT</x:v>
      </x:c>
      <x:c r="Q600" s="63" t="str">
        <x:f>IF(AND(P600="SHORT",COUNTIFS($E$2:E600,E600,$P$2:P600,"SHORT")=1),B600,"")</x:f>
      </x:c>
    </x:row>
    <x:row r="601" ht="15" customHeight="1">
      <x:c r="A601" s="71" t="str">
        <x:v>SO-26078</x:v>
      </x:c>
      <x:c r="B601" s="75" t="n">
        <x:v>46295</x:v>
      </x:c>
      <x:c r="C601" s="71" t="str">
        <x:v>High</x:v>
      </x:c>
      <x:c r="D601" s="71" t="str">
        <x:v>FG-002</x:v>
      </x:c>
      <x:c r="E601" s="71" t="str">
        <x:v>RM-028</x:v>
      </x:c>
      <x:c r="F601" s="71" t="str">
        <x:v>Filler 028</x:v>
      </x:c>
      <x:c r="G601" s="76" t="n">
        <x:v>30</x:v>
      </x:c>
      <x:c r="H601" s="76" t="n">
        <x:v>31.59</x:v>
      </x:c>
      <x:c r="I601" s="76" t="n">
        <x:f>G601*H601</x:f>
        <x:v>947.7</x:v>
      </x:c>
      <x:c r="J601" s="76" t="n">
        <x:f>IFERROR(INDEX('Inventory'!$E$2:$E$71,MATCH(E601,'Inventory'!$A$2:$A$71,0)),0)</x:f>
        <x:v>14836</x:v>
      </x:c>
      <x:c r="K601" s="76" t="n">
        <x:f>IFERROR(INDEX('Inventory'!$F$2:$F$71,MATCH(E601,'Inventory'!$A$2:$A$71,0)),0)</x:f>
        <x:v>1498</x:v>
      </x:c>
      <x:c r="L601" s="76" t="n">
        <x:f>SUMIFS('Open_POs'!$D$2:$D$26,'Open_POs'!$B$2:$B$26,E601,'Open_POs'!$E$2:$E$26,"&lt;="&amp;B601)</x:f>
        <x:v>1000</x:v>
      </x:c>
      <x:c r="M601" s="76" t="n">
        <x:f>J601+L601</x:f>
        <x:v>15836</x:v>
      </x:c>
      <x:c r="N601" s="76" t="n">
        <x:f>SUMIFS($I$2:I601,$E$2:E601,E601)</x:f>
        <x:v>5444.099999999999</x:v>
      </x:c>
      <x:c r="O601" s="76" t="n">
        <x:f>M601-N601</x:f>
        <x:v>10391.900000000001</x:v>
      </x:c>
      <x:c r="P601" s="71" t="str">
        <x:f>IF(O601&lt;0,"SHORT",IF(O601&lt;K601,"BELOW TARGET","COVERED"))</x:f>
        <x:v>COVERED</x:v>
      </x:c>
      <x:c r="Q601" s="63" t="str">
        <x:f>IF(AND(P601="SHORT",COUNTIFS($E$2:E601,E601,$P$2:P601,"SHORT")=1),B601,"")</x:f>
      </x:c>
    </x:row>
    <x:row r="602" ht="15" customHeight="1">
      <x:c r="A602" s="71" t="str">
        <x:v>SO-26078</x:v>
      </x:c>
      <x:c r="B602" s="75" t="n">
        <x:v>46295</x:v>
      </x:c>
      <x:c r="C602" s="71" t="str">
        <x:v>High</x:v>
      </x:c>
      <x:c r="D602" s="71" t="str">
        <x:v>FG-002</x:v>
      </x:c>
      <x:c r="E602" s="71" t="str">
        <x:v>RM-035</x:v>
      </x:c>
      <x:c r="F602" s="71" t="str">
        <x:v>Packaging 035</x:v>
      </x:c>
      <x:c r="G602" s="76" t="n">
        <x:v>30</x:v>
      </x:c>
      <x:c r="H602" s="76" t="n">
        <x:v>109.92</x:v>
      </x:c>
      <x:c r="I602" s="76" t="n">
        <x:f>G602*H602</x:f>
        <x:v>3297.6</x:v>
      </x:c>
      <x:c r="J602" s="76" t="n">
        <x:f>IFERROR(INDEX('Inventory'!$E$2:$E$71,MATCH(E602,'Inventory'!$A$2:$A$71,0)),0)</x:f>
        <x:v>8691</x:v>
      </x:c>
      <x:c r="K602" s="76" t="n">
        <x:f>IFERROR(INDEX('Inventory'!$F$2:$F$71,MATCH(E602,'Inventory'!$A$2:$A$71,0)),0)</x:f>
        <x:v>505</x:v>
      </x:c>
      <x:c r="L602" s="76" t="n">
        <x:f>SUMIFS('Open_POs'!$D$2:$D$26,'Open_POs'!$B$2:$B$26,E602,'Open_POs'!$E$2:$E$26,"&lt;="&amp;B602)</x:f>
        <x:v>0</x:v>
      </x:c>
      <x:c r="M602" s="76" t="n">
        <x:f>J602+L602</x:f>
        <x:v>8691</x:v>
      </x:c>
      <x:c r="N602" s="76" t="n">
        <x:f>SUMIFS($I$2:I602,$E$2:E602,E602)</x:f>
        <x:v>14289.6</x:v>
      </x:c>
      <x:c r="O602" s="76" t="n">
        <x:f>M602-N602</x:f>
        <x:v>-5598.6</x:v>
      </x:c>
      <x:c r="P602" s="71" t="str">
        <x:f>IF(O602&lt;0,"SHORT",IF(O602&lt;K602,"BELOW TARGET","COVERED"))</x:f>
        <x:v>SHORT</x:v>
      </x:c>
      <x:c r="Q602" s="63" t="str">
        <x:f>IF(AND(P602="SHORT",COUNTIFS($E$2:E602,E602,$P$2:P602,"SHORT")=1),B602,"")</x:f>
      </x:c>
    </x:row>
    <x:row r="603" ht="15" customHeight="1">
      <x:c r="A603" s="71" t="str">
        <x:v>SO-26078</x:v>
      </x:c>
      <x:c r="B603" s="75" t="n">
        <x:v>46295</x:v>
      </x:c>
      <x:c r="C603" s="71" t="str">
        <x:v>High</x:v>
      </x:c>
      <x:c r="D603" s="71" t="str">
        <x:v>FG-002</x:v>
      </x:c>
      <x:c r="E603" s="71" t="str">
        <x:v>RM-054</x:v>
      </x:c>
      <x:c r="F603" s="71" t="str">
        <x:v>Additive 054</x:v>
      </x:c>
      <x:c r="G603" s="76" t="n">
        <x:v>30</x:v>
      </x:c>
      <x:c r="H603" s="76" t="n">
        <x:v>85.79</x:v>
      </x:c>
      <x:c r="I603" s="76" t="n">
        <x:f>G603*H603</x:f>
        <x:v>2573.7000000000003</x:v>
      </x:c>
      <x:c r="J603" s="76" t="n">
        <x:f>IFERROR(INDEX('Inventory'!$E$2:$E$71,MATCH(E603,'Inventory'!$A$2:$A$71,0)),0)</x:f>
        <x:v>15751</x:v>
      </x:c>
      <x:c r="K603" s="76" t="n">
        <x:f>IFERROR(INDEX('Inventory'!$F$2:$F$71,MATCH(E603,'Inventory'!$A$2:$A$71,0)),0)</x:f>
        <x:v>1392</x:v>
      </x:c>
      <x:c r="L603" s="76" t="n">
        <x:f>SUMIFS('Open_POs'!$D$2:$D$26,'Open_POs'!$B$2:$B$26,E603,'Open_POs'!$E$2:$E$26,"&lt;="&amp;B603)</x:f>
        <x:v>0</x:v>
      </x:c>
      <x:c r="M603" s="76" t="n">
        <x:f>J603+L603</x:f>
        <x:v>15751</x:v>
      </x:c>
      <x:c r="N603" s="76" t="n">
        <x:f>SUMIFS($I$2:I603,$E$2:E603,E603)</x:f>
        <x:v>11152.7</x:v>
      </x:c>
      <x:c r="O603" s="76" t="n">
        <x:f>M603-N603</x:f>
        <x:v>4598.299999999999</x:v>
      </x:c>
      <x:c r="P603" s="71" t="str">
        <x:f>IF(O603&lt;0,"SHORT",IF(O603&lt;K603,"BELOW TARGET","COVERED"))</x:f>
        <x:v>COVERED</x:v>
      </x:c>
      <x:c r="Q603" s="63" t="str">
        <x:f>IF(AND(P603="SHORT",COUNTIFS($E$2:E603,E603,$P$2:P603,"SHORT")=1),B603,"")</x:f>
      </x:c>
    </x:row>
    <x:row r="604" ht="15" customHeight="1">
      <x:c r="A604" s="71" t="str">
        <x:v>SO-26078</x:v>
      </x:c>
      <x:c r="B604" s="75" t="n">
        <x:v>46295</x:v>
      </x:c>
      <x:c r="C604" s="71" t="str">
        <x:v>High</x:v>
      </x:c>
      <x:c r="D604" s="71" t="str">
        <x:v>FG-002</x:v>
      </x:c>
      <x:c r="E604" s="71" t="str">
        <x:v>RM-058</x:v>
      </x:c>
      <x:c r="F604" s="71" t="str">
        <x:v>Filler 058</x:v>
      </x:c>
      <x:c r="G604" s="76" t="n">
        <x:v>30</x:v>
      </x:c>
      <x:c r="H604" s="76" t="n">
        <x:v>110.47</x:v>
      </x:c>
      <x:c r="I604" s="76" t="n">
        <x:f>G604*H604</x:f>
        <x:v>3314.1</x:v>
      </x:c>
      <x:c r="J604" s="76" t="n">
        <x:f>IFERROR(INDEX('Inventory'!$E$2:$E$71,MATCH(E604,'Inventory'!$A$2:$A$71,0)),0)</x:f>
        <x:v>9929</x:v>
      </x:c>
      <x:c r="K604" s="76" t="n">
        <x:f>IFERROR(INDEX('Inventory'!$F$2:$F$71,MATCH(E604,'Inventory'!$A$2:$A$71,0)),0)</x:f>
        <x:v>701</x:v>
      </x:c>
      <x:c r="L604" s="76" t="n">
        <x:f>SUMIFS('Open_POs'!$D$2:$D$26,'Open_POs'!$B$2:$B$26,E604,'Open_POs'!$E$2:$E$26,"&lt;="&amp;B604)</x:f>
        <x:v>0</x:v>
      </x:c>
      <x:c r="M604" s="76" t="n">
        <x:f>J604+L604</x:f>
        <x:v>9929</x:v>
      </x:c>
      <x:c r="N604" s="76" t="n">
        <x:f>SUMIFS($I$2:I604,$E$2:E604,E604)</x:f>
        <x:v>73276.40000000001</x:v>
      </x:c>
      <x:c r="O604" s="76" t="n">
        <x:f>M604-N604</x:f>
        <x:v>-63347.40000000001</x:v>
      </x:c>
      <x:c r="P604" s="71" t="str">
        <x:f>IF(O604&lt;0,"SHORT",IF(O604&lt;K604,"BELOW TARGET","COVERED"))</x:f>
        <x:v>SHORT</x:v>
      </x:c>
      <x:c r="Q604" s="63" t="str">
        <x:f>IF(AND(P604="SHORT",COUNTIFS($E$2:E604,E604,$P$2:P604,"SHORT")=1),B604,"")</x:f>
      </x:c>
    </x:row>
    <x:row r="605" ht="15" customHeight="1">
      <x:c r="A605" s="71" t="str">
        <x:v>SO-26088</x:v>
      </x:c>
      <x:c r="B605" s="75" t="n">
        <x:v>46295</x:v>
      </x:c>
      <x:c r="C605" s="71" t="str">
        <x:v>High</x:v>
      </x:c>
      <x:c r="D605" s="71" t="str">
        <x:v>FG-019</x:v>
      </x:c>
      <x:c r="E605" s="71" t="str">
        <x:v>RM-007</x:v>
      </x:c>
      <x:c r="F605" s="71" t="str">
        <x:v>Pigment 007</x:v>
      </x:c>
      <x:c r="G605" s="76" t="n">
        <x:v>10</x:v>
      </x:c>
      <x:c r="H605" s="76" t="n">
        <x:v>64.2</x:v>
      </x:c>
      <x:c r="I605" s="76" t="n">
        <x:f>G605*H605</x:f>
        <x:v>642</x:v>
      </x:c>
      <x:c r="J605" s="76" t="n">
        <x:f>IFERROR(INDEX('Inventory'!$E$2:$E$71,MATCH(E605,'Inventory'!$A$2:$A$71,0)),0)</x:f>
        <x:v>9115</x:v>
      </x:c>
      <x:c r="K605" s="76" t="n">
        <x:f>IFERROR(INDEX('Inventory'!$F$2:$F$71,MATCH(E605,'Inventory'!$A$2:$A$71,0)),0)</x:f>
        <x:v>230</x:v>
      </x:c>
      <x:c r="L605" s="76" t="n">
        <x:f>SUMIFS('Open_POs'!$D$2:$D$26,'Open_POs'!$B$2:$B$26,E605,'Open_POs'!$E$2:$E$26,"&lt;="&amp;B605)</x:f>
        <x:v>2500</x:v>
      </x:c>
      <x:c r="M605" s="76" t="n">
        <x:f>J605+L605</x:f>
        <x:v>11615</x:v>
      </x:c>
      <x:c r="N605" s="76" t="n">
        <x:f>SUMIFS($I$2:I605,$E$2:E605,E605)</x:f>
        <x:v>34801.2</x:v>
      </x:c>
      <x:c r="O605" s="76" t="n">
        <x:f>M605-N605</x:f>
        <x:v>-23186.199999999997</x:v>
      </x:c>
      <x:c r="P605" s="71" t="str">
        <x:f>IF(O605&lt;0,"SHORT",IF(O605&lt;K605,"BELOW TARGET","COVERED"))</x:f>
        <x:v>SHORT</x:v>
      </x:c>
      <x:c r="Q605" s="63" t="str">
        <x:f>IF(AND(P605="SHORT",COUNTIFS($E$2:E605,E605,$P$2:P605,"SHORT")=1),B605,"")</x:f>
      </x:c>
    </x:row>
    <x:row r="606" ht="15" customHeight="1">
      <x:c r="A606" s="71" t="str">
        <x:v>SO-26088</x:v>
      </x:c>
      <x:c r="B606" s="75" t="n">
        <x:v>46295</x:v>
      </x:c>
      <x:c r="C606" s="71" t="str">
        <x:v>High</x:v>
      </x:c>
      <x:c r="D606" s="71" t="str">
        <x:v>FG-019</x:v>
      </x:c>
      <x:c r="E606" s="71" t="str">
        <x:v>RM-014</x:v>
      </x:c>
      <x:c r="F606" s="71" t="str">
        <x:v>Additive 014</x:v>
      </x:c>
      <x:c r="G606" s="76" t="n">
        <x:v>10</x:v>
      </x:c>
      <x:c r="H606" s="76" t="n">
        <x:v>61.33</x:v>
      </x:c>
      <x:c r="I606" s="76" t="n">
        <x:f>G606*H606</x:f>
        <x:v>613.3</x:v>
      </x:c>
      <x:c r="J606" s="76" t="n">
        <x:f>IFERROR(INDEX('Inventory'!$E$2:$E$71,MATCH(E606,'Inventory'!$A$2:$A$71,0)),0)</x:f>
        <x:v>2788</x:v>
      </x:c>
      <x:c r="K606" s="76" t="n">
        <x:f>IFERROR(INDEX('Inventory'!$F$2:$F$71,MATCH(E606,'Inventory'!$A$2:$A$71,0)),0)</x:f>
        <x:v>1133</x:v>
      </x:c>
      <x:c r="L606" s="76" t="n">
        <x:f>SUMIFS('Open_POs'!$D$2:$D$26,'Open_POs'!$B$2:$B$26,E606,'Open_POs'!$E$2:$E$26,"&lt;="&amp;B606)</x:f>
        <x:v>0</x:v>
      </x:c>
      <x:c r="M606" s="76" t="n">
        <x:f>J606+L606</x:f>
        <x:v>2788</x:v>
      </x:c>
      <x:c r="N606" s="76" t="n">
        <x:f>SUMIFS($I$2:I606,$E$2:E606,E606)</x:f>
        <x:v>22078.8</x:v>
      </x:c>
      <x:c r="O606" s="76" t="n">
        <x:f>M606-N606</x:f>
        <x:v>-19290.8</x:v>
      </x:c>
      <x:c r="P606" s="71" t="str">
        <x:f>IF(O606&lt;0,"SHORT",IF(O606&lt;K606,"BELOW TARGET","COVERED"))</x:f>
        <x:v>SHORT</x:v>
      </x:c>
      <x:c r="Q606" s="63" t="str">
        <x:f>IF(AND(P606="SHORT",COUNTIFS($E$2:E606,E606,$P$2:P606,"SHORT")=1),B606,"")</x:f>
      </x:c>
    </x:row>
    <x:row r="607" ht="15" customHeight="1">
      <x:c r="A607" s="71" t="str">
        <x:v>SO-26088</x:v>
      </x:c>
      <x:c r="B607" s="75" t="n">
        <x:v>46295</x:v>
      </x:c>
      <x:c r="C607" s="71" t="str">
        <x:v>High</x:v>
      </x:c>
      <x:c r="D607" s="71" t="str">
        <x:v>FG-019</x:v>
      </x:c>
      <x:c r="E607" s="71" t="str">
        <x:v>RM-023</x:v>
      </x:c>
      <x:c r="F607" s="71" t="str">
        <x:v>Filler 023</x:v>
      </x:c>
      <x:c r="G607" s="76" t="n">
        <x:v>10</x:v>
      </x:c>
      <x:c r="H607" s="76" t="n">
        <x:v>34.53</x:v>
      </x:c>
      <x:c r="I607" s="76" t="n">
        <x:f>G607*H607</x:f>
        <x:v>345.3</x:v>
      </x:c>
      <x:c r="J607" s="76" t="n">
        <x:f>IFERROR(INDEX('Inventory'!$E$2:$E$71,MATCH(E607,'Inventory'!$A$2:$A$71,0)),0)</x:f>
        <x:v>3401</x:v>
      </x:c>
      <x:c r="K607" s="76" t="n">
        <x:f>IFERROR(INDEX('Inventory'!$F$2:$F$71,MATCH(E607,'Inventory'!$A$2:$A$71,0)),0)</x:f>
        <x:v>418</x:v>
      </x:c>
      <x:c r="L607" s="76" t="n">
        <x:f>SUMIFS('Open_POs'!$D$2:$D$26,'Open_POs'!$B$2:$B$26,E607,'Open_POs'!$E$2:$E$26,"&lt;="&amp;B607)</x:f>
        <x:v>0</x:v>
      </x:c>
      <x:c r="M607" s="76" t="n">
        <x:f>J607+L607</x:f>
        <x:v>3401</x:v>
      </x:c>
      <x:c r="N607" s="76" t="n">
        <x:f>SUMIFS($I$2:I607,$E$2:E607,E607)</x:f>
        <x:v>24850.3</x:v>
      </x:c>
      <x:c r="O607" s="76" t="n">
        <x:f>M607-N607</x:f>
        <x:v>-21449.3</x:v>
      </x:c>
      <x:c r="P607" s="71" t="str">
        <x:f>IF(O607&lt;0,"SHORT",IF(O607&lt;K607,"BELOW TARGET","COVERED"))</x:f>
        <x:v>SHORT</x:v>
      </x:c>
      <x:c r="Q607" s="63" t="str">
        <x:f>IF(AND(P607="SHORT",COUNTIFS($E$2:E607,E607,$P$2:P607,"SHORT")=1),B607,"")</x:f>
      </x:c>
    </x:row>
    <x:row r="608" ht="15" customHeight="1">
      <x:c r="A608" s="71" t="str">
        <x:v>SO-26088</x:v>
      </x:c>
      <x:c r="B608" s="75" t="n">
        <x:v>46295</x:v>
      </x:c>
      <x:c r="C608" s="71" t="str">
        <x:v>High</x:v>
      </x:c>
      <x:c r="D608" s="71" t="str">
        <x:v>FG-019</x:v>
      </x:c>
      <x:c r="E608" s="71" t="str">
        <x:v>RM-033</x:v>
      </x:c>
      <x:c r="F608" s="71" t="str">
        <x:v>Filler 033</x:v>
      </x:c>
      <x:c r="G608" s="76" t="n">
        <x:v>10</x:v>
      </x:c>
      <x:c r="H608" s="76" t="n">
        <x:v>41.3</x:v>
      </x:c>
      <x:c r="I608" s="76" t="n">
        <x:f>G608*H608</x:f>
        <x:v>413</x:v>
      </x:c>
      <x:c r="J608" s="76" t="n">
        <x:f>IFERROR(INDEX('Inventory'!$E$2:$E$71,MATCH(E608,'Inventory'!$A$2:$A$71,0)),0)</x:f>
        <x:v>4157</x:v>
      </x:c>
      <x:c r="K608" s="76" t="n">
        <x:f>IFERROR(INDEX('Inventory'!$F$2:$F$71,MATCH(E608,'Inventory'!$A$2:$A$71,0)),0)</x:f>
        <x:v>1030</x:v>
      </x:c>
      <x:c r="L608" s="76" t="n">
        <x:f>SUMIFS('Open_POs'!$D$2:$D$26,'Open_POs'!$B$2:$B$26,E608,'Open_POs'!$E$2:$E$26,"&lt;="&amp;B608)</x:f>
        <x:v>5000</x:v>
      </x:c>
      <x:c r="M608" s="76" t="n">
        <x:f>J608+L608</x:f>
        <x:v>9157</x:v>
      </x:c>
      <x:c r="N608" s="76" t="n">
        <x:f>SUMIFS($I$2:I608,$E$2:E608,E608)</x:f>
        <x:v>23896</x:v>
      </x:c>
      <x:c r="O608" s="76" t="n">
        <x:f>M608-N608</x:f>
        <x:v>-14739</x:v>
      </x:c>
      <x:c r="P608" s="71" t="str">
        <x:f>IF(O608&lt;0,"SHORT",IF(O608&lt;K608,"BELOW TARGET","COVERED"))</x:f>
        <x:v>SHORT</x:v>
      </x:c>
      <x:c r="Q608" s="63" t="str">
        <x:f>IF(AND(P608="SHORT",COUNTIFS($E$2:E608,E608,$P$2:P608,"SHORT")=1),B608,"")</x:f>
      </x:c>
    </x:row>
    <x:row r="609" ht="15" customHeight="1">
      <x:c r="A609" s="71" t="str">
        <x:v>SO-26088</x:v>
      </x:c>
      <x:c r="B609" s="75" t="n">
        <x:v>46295</x:v>
      </x:c>
      <x:c r="C609" s="71" t="str">
        <x:v>High</x:v>
      </x:c>
      <x:c r="D609" s="71" t="str">
        <x:v>FG-019</x:v>
      </x:c>
      <x:c r="E609" s="71" t="str">
        <x:v>RM-038</x:v>
      </x:c>
      <x:c r="F609" s="71" t="str">
        <x:v>Filler 038</x:v>
      </x:c>
      <x:c r="G609" s="76" t="n">
        <x:v>10</x:v>
      </x:c>
      <x:c r="H609" s="76" t="n">
        <x:v>50.34</x:v>
      </x:c>
      <x:c r="I609" s="76" t="n">
        <x:f>G609*H609</x:f>
        <x:v>503.40000000000003</x:v>
      </x:c>
      <x:c r="J609" s="76" t="n">
        <x:f>IFERROR(INDEX('Inventory'!$E$2:$E$71,MATCH(E609,'Inventory'!$A$2:$A$71,0)),0)</x:f>
        <x:v>10042</x:v>
      </x:c>
      <x:c r="K609" s="76" t="n">
        <x:f>IFERROR(INDEX('Inventory'!$F$2:$F$71,MATCH(E609,'Inventory'!$A$2:$A$71,0)),0)</x:f>
        <x:v>1452</x:v>
      </x:c>
      <x:c r="L609" s="76" t="n">
        <x:f>SUMIFS('Open_POs'!$D$2:$D$26,'Open_POs'!$B$2:$B$26,E609,'Open_POs'!$E$2:$E$26,"&lt;="&amp;B609)</x:f>
        <x:v>10000</x:v>
      </x:c>
      <x:c r="M609" s="76" t="n">
        <x:f>J609+L609</x:f>
        <x:v>20042</x:v>
      </x:c>
      <x:c r="N609" s="76" t="n">
        <x:f>SUMIFS($I$2:I609,$E$2:E609,E609)</x:f>
        <x:v>44490.6</x:v>
      </x:c>
      <x:c r="O609" s="76" t="n">
        <x:f>M609-N609</x:f>
        <x:v>-24448.6</x:v>
      </x:c>
      <x:c r="P609" s="71" t="str">
        <x:f>IF(O609&lt;0,"SHORT",IF(O609&lt;K609,"BELOW TARGET","COVERED"))</x:f>
        <x:v>SHORT</x:v>
      </x:c>
      <x:c r="Q609" s="63" t="str">
        <x:f>IF(AND(P609="SHORT",COUNTIFS($E$2:E609,E609,$P$2:P609,"SHORT")=1),B609,"")</x:f>
      </x:c>
    </x:row>
    <x:row r="610" ht="15" customHeight="1">
      <x:c r="A610" s="71" t="str">
        <x:v>SO-26088</x:v>
      </x:c>
      <x:c r="B610" s="75" t="n">
        <x:v>46295</x:v>
      </x:c>
      <x:c r="C610" s="71" t="str">
        <x:v>High</x:v>
      </x:c>
      <x:c r="D610" s="71" t="str">
        <x:v>FG-019</x:v>
      </x:c>
      <x:c r="E610" s="71" t="str">
        <x:v>RM-041</x:v>
      </x:c>
      <x:c r="F610" s="71" t="str">
        <x:v>Resin 041</x:v>
      </x:c>
      <x:c r="G610" s="76" t="n">
        <x:v>10</x:v>
      </x:c>
      <x:c r="H610" s="76" t="n">
        <x:v>9.3</x:v>
      </x:c>
      <x:c r="I610" s="76" t="n">
        <x:f>G610*H610</x:f>
        <x:v>93</x:v>
      </x:c>
      <x:c r="J610" s="76" t="n">
        <x:f>IFERROR(INDEX('Inventory'!$E$2:$E$71,MATCH(E610,'Inventory'!$A$2:$A$71,0)),0)</x:f>
        <x:v>4635</x:v>
      </x:c>
      <x:c r="K610" s="76" t="n">
        <x:f>IFERROR(INDEX('Inventory'!$F$2:$F$71,MATCH(E610,'Inventory'!$A$2:$A$71,0)),0)</x:f>
        <x:v>987</x:v>
      </x:c>
      <x:c r="L610" s="76" t="n">
        <x:f>SUMIFS('Open_POs'!$D$2:$D$26,'Open_POs'!$B$2:$B$26,E610,'Open_POs'!$E$2:$E$26,"&lt;="&amp;B610)</x:f>
        <x:v>0</x:v>
      </x:c>
      <x:c r="M610" s="76" t="n">
        <x:f>J610+L610</x:f>
        <x:v>4635</x:v>
      </x:c>
      <x:c r="N610" s="76" t="n">
        <x:f>SUMIFS($I$2:I610,$E$2:E610,E610)</x:f>
        <x:v>28851</x:v>
      </x:c>
      <x:c r="O610" s="76" t="n">
        <x:f>M610-N610</x:f>
        <x:v>-24216</x:v>
      </x:c>
      <x:c r="P610" s="71" t="str">
        <x:f>IF(O610&lt;0,"SHORT",IF(O610&lt;K610,"BELOW TARGET","COVERED"))</x:f>
        <x:v>SHORT</x:v>
      </x:c>
      <x:c r="Q610" s="63" t="str">
        <x:f>IF(AND(P610="SHORT",COUNTIFS($E$2:E610,E610,$P$2:P610,"SHORT")=1),B610,"")</x:f>
      </x:c>
    </x:row>
    <x:row r="611" ht="15" customHeight="1">
      <x:c r="A611" s="71" t="str">
        <x:v>SO-26088</x:v>
      </x:c>
      <x:c r="B611" s="75" t="n">
        <x:v>46295</x:v>
      </x:c>
      <x:c r="C611" s="71" t="str">
        <x:v>High</x:v>
      </x:c>
      <x:c r="D611" s="71" t="str">
        <x:v>FG-019</x:v>
      </x:c>
      <x:c r="E611" s="71" t="str">
        <x:v>RM-048</x:v>
      </x:c>
      <x:c r="F611" s="71" t="str">
        <x:v>Filler 048</x:v>
      </x:c>
      <x:c r="G611" s="76" t="n">
        <x:v>10</x:v>
      </x:c>
      <x:c r="H611" s="76" t="n">
        <x:v>41.51</x:v>
      </x:c>
      <x:c r="I611" s="76" t="n">
        <x:f>G611*H611</x:f>
        <x:v>415.09999999999997</x:v>
      </x:c>
      <x:c r="J611" s="76" t="n">
        <x:f>IFERROR(INDEX('Inventory'!$E$2:$E$71,MATCH(E611,'Inventory'!$A$2:$A$71,0)),0)</x:f>
        <x:v>637</x:v>
      </x:c>
      <x:c r="K611" s="76" t="n">
        <x:f>IFERROR(INDEX('Inventory'!$F$2:$F$71,MATCH(E611,'Inventory'!$A$2:$A$71,0)),0)</x:f>
        <x:v>888</x:v>
      </x:c>
      <x:c r="L611" s="76" t="n">
        <x:f>SUMIFS('Open_POs'!$D$2:$D$26,'Open_POs'!$B$2:$B$26,E611,'Open_POs'!$E$2:$E$26,"&lt;="&amp;B611)</x:f>
        <x:v>1000</x:v>
      </x:c>
      <x:c r="M611" s="76" t="n">
        <x:f>J611+L611</x:f>
        <x:v>1637</x:v>
      </x:c>
      <x:c r="N611" s="76" t="n">
        <x:f>SUMIFS($I$2:I611,$E$2:E611,E611)</x:f>
        <x:v>31651.199999999997</x:v>
      </x:c>
      <x:c r="O611" s="76" t="n">
        <x:f>M611-N611</x:f>
        <x:v>-30014.199999999997</x:v>
      </x:c>
      <x:c r="P611" s="71" t="str">
        <x:f>IF(O611&lt;0,"SHORT",IF(O611&lt;K611,"BELOW TARGET","COVERED"))</x:f>
        <x:v>SHORT</x:v>
      </x:c>
      <x:c r="Q611" s="63" t="str">
        <x:f>IF(AND(P611="SHORT",COUNTIFS($E$2:E611,E611,$P$2:P611,"SHORT")=1),B611,"")</x:f>
      </x:c>
    </x:row>
    <x:row r="612" ht="15" customHeight="1">
      <x:c r="A612" s="71" t="str">
        <x:v>SO-26088</x:v>
      </x:c>
      <x:c r="B612" s="75" t="n">
        <x:v>46295</x:v>
      </x:c>
      <x:c r="C612" s="71" t="str">
        <x:v>High</x:v>
      </x:c>
      <x:c r="D612" s="71" t="str">
        <x:v>FG-019</x:v>
      </x:c>
      <x:c r="E612" s="71" t="str">
        <x:v>RM-062</x:v>
      </x:c>
      <x:c r="F612" s="71" t="str">
        <x:v>Pigment 062</x:v>
      </x:c>
      <x:c r="G612" s="76" t="n">
        <x:v>10</x:v>
      </x:c>
      <x:c r="H612" s="76" t="n">
        <x:v>9</x:v>
      </x:c>
      <x:c r="I612" s="76" t="n">
        <x:f>G612*H612</x:f>
        <x:v>90</x:v>
      </x:c>
      <x:c r="J612" s="76" t="n">
        <x:f>IFERROR(INDEX('Inventory'!$E$2:$E$71,MATCH(E612,'Inventory'!$A$2:$A$71,0)),0)</x:f>
        <x:v>7110</x:v>
      </x:c>
      <x:c r="K612" s="76" t="n">
        <x:f>IFERROR(INDEX('Inventory'!$F$2:$F$71,MATCH(E612,'Inventory'!$A$2:$A$71,0)),0)</x:f>
        <x:v>1339</x:v>
      </x:c>
      <x:c r="L612" s="76" t="n">
        <x:f>SUMIFS('Open_POs'!$D$2:$D$26,'Open_POs'!$B$2:$B$26,E612,'Open_POs'!$E$2:$E$26,"&lt;="&amp;B612)</x:f>
        <x:v>1000</x:v>
      </x:c>
      <x:c r="M612" s="76" t="n">
        <x:f>J612+L612</x:f>
        <x:v>8110</x:v>
      </x:c>
      <x:c r="N612" s="76" t="n">
        <x:f>SUMIFS($I$2:I612,$E$2:E612,E612)</x:f>
        <x:v>10656.3</x:v>
      </x:c>
      <x:c r="O612" s="76" t="n">
        <x:f>M612-N612</x:f>
        <x:v>-2546.2999999999993</x:v>
      </x:c>
      <x:c r="P612" s="71" t="str">
        <x:f>IF(O612&lt;0,"SHORT",IF(O612&lt;K612,"BELOW TARGET","COVERED"))</x:f>
        <x:v>SHORT</x:v>
      </x:c>
      <x:c r="Q612" s="63" t="str">
        <x:f>IF(AND(P612="SHORT",COUNTIFS($E$2:E612,E612,$P$2:P612,"SHORT")=1),B612,"")</x:f>
      </x:c>
    </x:row>
    <x:row r="613" ht="15" customHeight="1">
      <x:c r="A613" s="71" t="str">
        <x:v>SO-26050</x:v>
      </x:c>
      <x:c r="B613" s="75" t="n">
        <x:v>46296</x:v>
      </x:c>
      <x:c r="C613" s="71" t="str">
        <x:v>Normal</x:v>
      </x:c>
      <x:c r="D613" s="71" t="str">
        <x:v>FG-013</x:v>
      </x:c>
      <x:c r="E613" s="71" t="str">
        <x:v>RM-020</x:v>
      </x:c>
      <x:c r="F613" s="71" t="str">
        <x:v>Packaging 020</x:v>
      </x:c>
      <x:c r="G613" s="76" t="n">
        <x:v>20</x:v>
      </x:c>
      <x:c r="H613" s="76" t="n">
        <x:v>43.07</x:v>
      </x:c>
      <x:c r="I613" s="76" t="n">
        <x:f>G613*H613</x:f>
        <x:v>861.4</x:v>
      </x:c>
      <x:c r="J613" s="76" t="n">
        <x:f>IFERROR(INDEX('Inventory'!$E$2:$E$71,MATCH(E613,'Inventory'!$A$2:$A$71,0)),0)</x:f>
        <x:v>10528</x:v>
      </x:c>
      <x:c r="K613" s="76" t="n">
        <x:f>IFERROR(INDEX('Inventory'!$F$2:$F$71,MATCH(E613,'Inventory'!$A$2:$A$71,0)),0)</x:f>
        <x:v>881</x:v>
      </x:c>
      <x:c r="L613" s="76" t="n">
        <x:f>SUMIFS('Open_POs'!$D$2:$D$26,'Open_POs'!$B$2:$B$26,E613,'Open_POs'!$E$2:$E$26,"&lt;="&amp;B613)</x:f>
        <x:v>2500</x:v>
      </x:c>
      <x:c r="M613" s="76" t="n">
        <x:f>J613+L613</x:f>
        <x:v>13028</x:v>
      </x:c>
      <x:c r="N613" s="76" t="n">
        <x:f>SUMIFS($I$2:I613,$E$2:E613,E613)</x:f>
        <x:v>28681.000000000004</x:v>
      </x:c>
      <x:c r="O613" s="76" t="n">
        <x:f>M613-N613</x:f>
        <x:v>-15653.000000000004</x:v>
      </x:c>
      <x:c r="P613" s="71" t="str">
        <x:f>IF(O613&lt;0,"SHORT",IF(O613&lt;K613,"BELOW TARGET","COVERED"))</x:f>
        <x:v>SHORT</x:v>
      </x:c>
      <x:c r="Q613" s="63" t="str">
        <x:f>IF(AND(P613="SHORT",COUNTIFS($E$2:E613,E613,$P$2:P613,"SHORT")=1),B613,"")</x:f>
      </x:c>
    </x:row>
    <x:row r="614" ht="15" customHeight="1">
      <x:c r="A614" s="71" t="str">
        <x:v>SO-26050</x:v>
      </x:c>
      <x:c r="B614" s="75" t="n">
        <x:v>46296</x:v>
      </x:c>
      <x:c r="C614" s="71" t="str">
        <x:v>Normal</x:v>
      </x:c>
      <x:c r="D614" s="71" t="str">
        <x:v>FG-013</x:v>
      </x:c>
      <x:c r="E614" s="71" t="str">
        <x:v>RM-025</x:v>
      </x:c>
      <x:c r="F614" s="71" t="str">
        <x:v>Packaging 025</x:v>
      </x:c>
      <x:c r="G614" s="76" t="n">
        <x:v>20</x:v>
      </x:c>
      <x:c r="H614" s="76" t="n">
        <x:v>50.79</x:v>
      </x:c>
      <x:c r="I614" s="76" t="n">
        <x:f>G614*H614</x:f>
        <x:v>1015.8</x:v>
      </x:c>
      <x:c r="J614" s="76" t="n">
        <x:f>IFERROR(INDEX('Inventory'!$E$2:$E$71,MATCH(E614,'Inventory'!$A$2:$A$71,0)),0)</x:f>
        <x:v>2469</x:v>
      </x:c>
      <x:c r="K614" s="76" t="n">
        <x:f>IFERROR(INDEX('Inventory'!$F$2:$F$71,MATCH(E614,'Inventory'!$A$2:$A$71,0)),0)</x:f>
        <x:v>229</x:v>
      </x:c>
      <x:c r="L614" s="76" t="n">
        <x:f>SUMIFS('Open_POs'!$D$2:$D$26,'Open_POs'!$B$2:$B$26,E614,'Open_POs'!$E$2:$E$26,"&lt;="&amp;B614)</x:f>
        <x:v>10000</x:v>
      </x:c>
      <x:c r="M614" s="76" t="n">
        <x:f>J614+L614</x:f>
        <x:v>12469</x:v>
      </x:c>
      <x:c r="N614" s="76" t="n">
        <x:f>SUMIFS($I$2:I614,$E$2:E614,E614)</x:f>
        <x:v>49384.39999999999</x:v>
      </x:c>
      <x:c r="O614" s="76" t="n">
        <x:f>M614-N614</x:f>
        <x:v>-36915.39999999999</x:v>
      </x:c>
      <x:c r="P614" s="71" t="str">
        <x:f>IF(O614&lt;0,"SHORT",IF(O614&lt;K614,"BELOW TARGET","COVERED"))</x:f>
        <x:v>SHORT</x:v>
      </x:c>
      <x:c r="Q614" s="63" t="str">
        <x:f>IF(AND(P614="SHORT",COUNTIFS($E$2:E614,E614,$P$2:P614,"SHORT")=1),B614,"")</x:f>
      </x:c>
    </x:row>
    <x:row r="615" ht="15" customHeight="1">
      <x:c r="A615" s="71" t="str">
        <x:v>SO-26050</x:v>
      </x:c>
      <x:c r="B615" s="75" t="n">
        <x:v>46296</x:v>
      </x:c>
      <x:c r="C615" s="71" t="str">
        <x:v>Normal</x:v>
      </x:c>
      <x:c r="D615" s="71" t="str">
        <x:v>FG-013</x:v>
      </x:c>
      <x:c r="E615" s="71" t="str">
        <x:v>RM-032</x:v>
      </x:c>
      <x:c r="F615" s="71" t="str">
        <x:v>Pigment 032</x:v>
      </x:c>
      <x:c r="G615" s="76" t="n">
        <x:v>20</x:v>
      </x:c>
      <x:c r="H615" s="76" t="n">
        <x:v>11.74</x:v>
      </x:c>
      <x:c r="I615" s="76" t="n">
        <x:f>G615*H615</x:f>
        <x:v>234.8</x:v>
      </x:c>
      <x:c r="J615" s="76" t="n">
        <x:f>IFERROR(INDEX('Inventory'!$E$2:$E$71,MATCH(E615,'Inventory'!$A$2:$A$71,0)),0)</x:f>
        <x:v>674</x:v>
      </x:c>
      <x:c r="K615" s="76" t="n">
        <x:f>IFERROR(INDEX('Inventory'!$F$2:$F$71,MATCH(E615,'Inventory'!$A$2:$A$71,0)),0)</x:f>
        <x:v>1056</x:v>
      </x:c>
      <x:c r="L615" s="76" t="n">
        <x:f>SUMIFS('Open_POs'!$D$2:$D$26,'Open_POs'!$B$2:$B$26,E615,'Open_POs'!$E$2:$E$26,"&lt;="&amp;B615)</x:f>
        <x:v>2500</x:v>
      </x:c>
      <x:c r="M615" s="76" t="n">
        <x:f>J615+L615</x:f>
        <x:v>3174</x:v>
      </x:c>
      <x:c r="N615" s="76" t="n">
        <x:f>SUMIFS($I$2:I615,$E$2:E615,E615)</x:f>
        <x:v>76892.4</x:v>
      </x:c>
      <x:c r="O615" s="76" t="n">
        <x:f>M615-N615</x:f>
        <x:v>-73718.4</x:v>
      </x:c>
      <x:c r="P615" s="71" t="str">
        <x:f>IF(O615&lt;0,"SHORT",IF(O615&lt;K615,"BELOW TARGET","COVERED"))</x:f>
        <x:v>SHORT</x:v>
      </x:c>
      <x:c r="Q615" s="63" t="str">
        <x:f>IF(AND(P615="SHORT",COUNTIFS($E$2:E615,E615,$P$2:P615,"SHORT")=1),B615,"")</x:f>
      </x:c>
    </x:row>
    <x:row r="616" ht="15" customHeight="1">
      <x:c r="A616" s="71" t="str">
        <x:v>SO-26050</x:v>
      </x:c>
      <x:c r="B616" s="75" t="n">
        <x:v>46296</x:v>
      </x:c>
      <x:c r="C616" s="71" t="str">
        <x:v>Normal</x:v>
      </x:c>
      <x:c r="D616" s="71" t="str">
        <x:v>FG-013</x:v>
      </x:c>
      <x:c r="E616" s="71" t="str">
        <x:v>RM-034</x:v>
      </x:c>
      <x:c r="F616" s="71" t="str">
        <x:v>Additive 034</x:v>
      </x:c>
      <x:c r="G616" s="76" t="n">
        <x:v>20</x:v>
      </x:c>
      <x:c r="H616" s="76" t="n">
        <x:v>81.11</x:v>
      </x:c>
      <x:c r="I616" s="76" t="n">
        <x:f>G616*H616</x:f>
        <x:v>1622.2</x:v>
      </x:c>
      <x:c r="J616" s="76" t="n">
        <x:f>IFERROR(INDEX('Inventory'!$E$2:$E$71,MATCH(E616,'Inventory'!$A$2:$A$71,0)),0)</x:f>
        <x:v>1971</x:v>
      </x:c>
      <x:c r="K616" s="76" t="n">
        <x:f>IFERROR(INDEX('Inventory'!$F$2:$F$71,MATCH(E616,'Inventory'!$A$2:$A$71,0)),0)</x:f>
        <x:v>1061</x:v>
      </x:c>
      <x:c r="L616" s="76" t="n">
        <x:f>SUMIFS('Open_POs'!$D$2:$D$26,'Open_POs'!$B$2:$B$26,E616,'Open_POs'!$E$2:$E$26,"&lt;="&amp;B616)</x:f>
        <x:v>0</x:v>
      </x:c>
      <x:c r="M616" s="76" t="n">
        <x:f>J616+L616</x:f>
        <x:v>1971</x:v>
      </x:c>
      <x:c r="N616" s="76" t="n">
        <x:f>SUMIFS($I$2:I616,$E$2:E616,E616)</x:f>
        <x:v>46537.6</x:v>
      </x:c>
      <x:c r="O616" s="76" t="n">
        <x:f>M616-N616</x:f>
        <x:v>-44566.6</x:v>
      </x:c>
      <x:c r="P616" s="71" t="str">
        <x:f>IF(O616&lt;0,"SHORT",IF(O616&lt;K616,"BELOW TARGET","COVERED"))</x:f>
        <x:v>SHORT</x:v>
      </x:c>
      <x:c r="Q616" s="63" t="str">
        <x:f>IF(AND(P616="SHORT",COUNTIFS($E$2:E616,E616,$P$2:P616,"SHORT")=1),B616,"")</x:f>
      </x:c>
    </x:row>
    <x:row r="617" ht="15" customHeight="1">
      <x:c r="A617" s="71" t="str">
        <x:v>SO-26050</x:v>
      </x:c>
      <x:c r="B617" s="75" t="n">
        <x:v>46296</x:v>
      </x:c>
      <x:c r="C617" s="71" t="str">
        <x:v>Normal</x:v>
      </x:c>
      <x:c r="D617" s="71" t="str">
        <x:v>FG-013</x:v>
      </x:c>
      <x:c r="E617" s="71" t="str">
        <x:v>RM-052</x:v>
      </x:c>
      <x:c r="F617" s="71" t="str">
        <x:v>Pigment 052</x:v>
      </x:c>
      <x:c r="G617" s="76" t="n">
        <x:v>20</x:v>
      </x:c>
      <x:c r="H617" s="76" t="n">
        <x:v>52.29</x:v>
      </x:c>
      <x:c r="I617" s="76" t="n">
        <x:f>G617*H617</x:f>
        <x:v>1045.8</x:v>
      </x:c>
      <x:c r="J617" s="76" t="n">
        <x:f>IFERROR(INDEX('Inventory'!$E$2:$E$71,MATCH(E617,'Inventory'!$A$2:$A$71,0)),0)</x:f>
        <x:v>6374</x:v>
      </x:c>
      <x:c r="K617" s="76" t="n">
        <x:f>IFERROR(INDEX('Inventory'!$F$2:$F$71,MATCH(E617,'Inventory'!$A$2:$A$71,0)),0)</x:f>
        <x:v>949</x:v>
      </x:c>
      <x:c r="L617" s="76" t="n">
        <x:f>SUMIFS('Open_POs'!$D$2:$D$26,'Open_POs'!$B$2:$B$26,E617,'Open_POs'!$E$2:$E$26,"&lt;="&amp;B617)</x:f>
        <x:v>1000</x:v>
      </x:c>
      <x:c r="M617" s="76" t="n">
        <x:f>J617+L617</x:f>
        <x:v>7374</x:v>
      </x:c>
      <x:c r="N617" s="76" t="n">
        <x:f>SUMIFS($I$2:I617,$E$2:E617,E617)</x:f>
        <x:v>27504.999999999996</x:v>
      </x:c>
      <x:c r="O617" s="76" t="n">
        <x:f>M617-N617</x:f>
        <x:v>-20130.999999999996</x:v>
      </x:c>
      <x:c r="P617" s="71" t="str">
        <x:f>IF(O617&lt;0,"SHORT",IF(O617&lt;K617,"BELOW TARGET","COVERED"))</x:f>
        <x:v>SHORT</x:v>
      </x:c>
      <x:c r="Q617" s="63" t="str">
        <x:f>IF(AND(P617="SHORT",COUNTIFS($E$2:E617,E617,$P$2:P617,"SHORT")=1),B617,"")</x:f>
      </x:c>
    </x:row>
    <x:row r="618" ht="15" customHeight="1">
      <x:c r="A618" s="71" t="str">
        <x:v>SO-26050</x:v>
      </x:c>
      <x:c r="B618" s="75" t="n">
        <x:v>46296</x:v>
      </x:c>
      <x:c r="C618" s="71" t="str">
        <x:v>Normal</x:v>
      </x:c>
      <x:c r="D618" s="71" t="str">
        <x:v>FG-013</x:v>
      </x:c>
      <x:c r="E618" s="71" t="str">
        <x:v>RM-058</x:v>
      </x:c>
      <x:c r="F618" s="71" t="str">
        <x:v>Filler 058</x:v>
      </x:c>
      <x:c r="G618" s="76" t="n">
        <x:v>20</x:v>
      </x:c>
      <x:c r="H618" s="76" t="n">
        <x:v>57.05</x:v>
      </x:c>
      <x:c r="I618" s="76" t="n">
        <x:f>G618*H618</x:f>
        <x:v>1141</x:v>
      </x:c>
      <x:c r="J618" s="76" t="n">
        <x:f>IFERROR(INDEX('Inventory'!$E$2:$E$71,MATCH(E618,'Inventory'!$A$2:$A$71,0)),0)</x:f>
        <x:v>9929</x:v>
      </x:c>
      <x:c r="K618" s="76" t="n">
        <x:f>IFERROR(INDEX('Inventory'!$F$2:$F$71,MATCH(E618,'Inventory'!$A$2:$A$71,0)),0)</x:f>
        <x:v>701</x:v>
      </x:c>
      <x:c r="L618" s="76" t="n">
        <x:f>SUMIFS('Open_POs'!$D$2:$D$26,'Open_POs'!$B$2:$B$26,E618,'Open_POs'!$E$2:$E$26,"&lt;="&amp;B618)</x:f>
        <x:v>0</x:v>
      </x:c>
      <x:c r="M618" s="76" t="n">
        <x:f>J618+L618</x:f>
        <x:v>9929</x:v>
      </x:c>
      <x:c r="N618" s="76" t="n">
        <x:f>SUMIFS($I$2:I618,$E$2:E618,E618)</x:f>
        <x:v>74417.40000000001</x:v>
      </x:c>
      <x:c r="O618" s="76" t="n">
        <x:f>M618-N618</x:f>
        <x:v>-64488.40000000001</x:v>
      </x:c>
      <x:c r="P618" s="71" t="str">
        <x:f>IF(O618&lt;0,"SHORT",IF(O618&lt;K618,"BELOW TARGET","COVERED"))</x:f>
        <x:v>SHORT</x:v>
      </x:c>
      <x:c r="Q618" s="63" t="str">
        <x:f>IF(AND(P618="SHORT",COUNTIFS($E$2:E618,E618,$P$2:P618,"SHORT")=1),B618,"")</x:f>
      </x:c>
    </x:row>
    <x:row r="619" ht="15" customHeight="1">
      <x:c r="A619" s="71" t="str">
        <x:v>SO-26064</x:v>
      </x:c>
      <x:c r="B619" s="75" t="n">
        <x:v>46296</x:v>
      </x:c>
      <x:c r="C619" s="71" t="str">
        <x:v>Normal</x:v>
      </x:c>
      <x:c r="D619" s="71" t="str">
        <x:v>FG-004</x:v>
      </x:c>
      <x:c r="E619" s="71" t="str">
        <x:v>RM-007</x:v>
      </x:c>
      <x:c r="F619" s="71" t="str">
        <x:v>Pigment 007</x:v>
      </x:c>
      <x:c r="G619" s="76" t="n">
        <x:v>50</x:v>
      </x:c>
      <x:c r="H619" s="76" t="n">
        <x:v>40.66</x:v>
      </x:c>
      <x:c r="I619" s="76" t="n">
        <x:f>G619*H619</x:f>
        <x:v>2032.9999999999998</x:v>
      </x:c>
      <x:c r="J619" s="76" t="n">
        <x:f>IFERROR(INDEX('Inventory'!$E$2:$E$71,MATCH(E619,'Inventory'!$A$2:$A$71,0)),0)</x:f>
        <x:v>9115</x:v>
      </x:c>
      <x:c r="K619" s="76" t="n">
        <x:f>IFERROR(INDEX('Inventory'!$F$2:$F$71,MATCH(E619,'Inventory'!$A$2:$A$71,0)),0)</x:f>
        <x:v>230</x:v>
      </x:c>
      <x:c r="L619" s="76" t="n">
        <x:f>SUMIFS('Open_POs'!$D$2:$D$26,'Open_POs'!$B$2:$B$26,E619,'Open_POs'!$E$2:$E$26,"&lt;="&amp;B619)</x:f>
        <x:v>2500</x:v>
      </x:c>
      <x:c r="M619" s="76" t="n">
        <x:f>J619+L619</x:f>
        <x:v>11615</x:v>
      </x:c>
      <x:c r="N619" s="76" t="n">
        <x:f>SUMIFS($I$2:I619,$E$2:E619,E619)</x:f>
        <x:v>36834.2</x:v>
      </x:c>
      <x:c r="O619" s="76" t="n">
        <x:f>M619-N619</x:f>
        <x:v>-25219.199999999997</x:v>
      </x:c>
      <x:c r="P619" s="71" t="str">
        <x:f>IF(O619&lt;0,"SHORT",IF(O619&lt;K619,"BELOW TARGET","COVERED"))</x:f>
        <x:v>SHORT</x:v>
      </x:c>
      <x:c r="Q619" s="63" t="str">
        <x:f>IF(AND(P619="SHORT",COUNTIFS($E$2:E619,E619,$P$2:P619,"SHORT")=1),B619,"")</x:f>
      </x:c>
    </x:row>
    <x:row r="620" ht="15" customHeight="1">
      <x:c r="A620" s="71" t="str">
        <x:v>SO-26064</x:v>
      </x:c>
      <x:c r="B620" s="75" t="n">
        <x:v>46296</x:v>
      </x:c>
      <x:c r="C620" s="71" t="str">
        <x:v>Normal</x:v>
      </x:c>
      <x:c r="D620" s="71" t="str">
        <x:v>FG-004</x:v>
      </x:c>
      <x:c r="E620" s="71" t="str">
        <x:v>RM-010</x:v>
      </x:c>
      <x:c r="F620" s="71" t="str">
        <x:v>Packaging 010</x:v>
      </x:c>
      <x:c r="G620" s="76" t="n">
        <x:v>50</x:v>
      </x:c>
      <x:c r="H620" s="76" t="n">
        <x:v>41.21</x:v>
      </x:c>
      <x:c r="I620" s="76" t="n">
        <x:f>G620*H620</x:f>
        <x:v>2060.5</x:v>
      </x:c>
      <x:c r="J620" s="76" t="n">
        <x:f>IFERROR(INDEX('Inventory'!$E$2:$E$71,MATCH(E620,'Inventory'!$A$2:$A$71,0)),0)</x:f>
        <x:v>14191</x:v>
      </x:c>
      <x:c r="K620" s="76" t="n">
        <x:f>IFERROR(INDEX('Inventory'!$F$2:$F$71,MATCH(E620,'Inventory'!$A$2:$A$71,0)),0)</x:f>
        <x:v>615</x:v>
      </x:c>
      <x:c r="L620" s="76" t="n">
        <x:f>SUMIFS('Open_POs'!$D$2:$D$26,'Open_POs'!$B$2:$B$26,E620,'Open_POs'!$E$2:$E$26,"&lt;="&amp;B620)</x:f>
        <x:v>0</x:v>
      </x:c>
      <x:c r="M620" s="76" t="n">
        <x:f>J620+L620</x:f>
        <x:v>14191</x:v>
      </x:c>
      <x:c r="N620" s="76" t="n">
        <x:f>SUMIFS($I$2:I620,$E$2:E620,E620)</x:f>
        <x:v>79726.80000000002</x:v>
      </x:c>
      <x:c r="O620" s="76" t="n">
        <x:f>M620-N620</x:f>
        <x:v>-65535.80000000002</x:v>
      </x:c>
      <x:c r="P620" s="71" t="str">
        <x:f>IF(O620&lt;0,"SHORT",IF(O620&lt;K620,"BELOW TARGET","COVERED"))</x:f>
        <x:v>SHORT</x:v>
      </x:c>
      <x:c r="Q620" s="63" t="str">
        <x:f>IF(AND(P620="SHORT",COUNTIFS($E$2:E620,E620,$P$2:P620,"SHORT")=1),B620,"")</x:f>
      </x:c>
    </x:row>
    <x:row r="621" ht="15" customHeight="1">
      <x:c r="A621" s="71" t="str">
        <x:v>SO-26064</x:v>
      </x:c>
      <x:c r="B621" s="75" t="n">
        <x:v>46296</x:v>
      </x:c>
      <x:c r="C621" s="71" t="str">
        <x:v>Normal</x:v>
      </x:c>
      <x:c r="D621" s="71" t="str">
        <x:v>FG-004</x:v>
      </x:c>
      <x:c r="E621" s="71" t="str">
        <x:v>RM-013</x:v>
      </x:c>
      <x:c r="F621" s="71" t="str">
        <x:v>Filler 013</x:v>
      </x:c>
      <x:c r="G621" s="76" t="n">
        <x:v>50</x:v>
      </x:c>
      <x:c r="H621" s="76" t="n">
        <x:v>36.5</x:v>
      </x:c>
      <x:c r="I621" s="76" t="n">
        <x:f>G621*H621</x:f>
        <x:v>1825</x:v>
      </x:c>
      <x:c r="J621" s="76" t="n">
        <x:f>IFERROR(INDEX('Inventory'!$E$2:$E$71,MATCH(E621,'Inventory'!$A$2:$A$71,0)),0)</x:f>
        <x:v>16230</x:v>
      </x:c>
      <x:c r="K621" s="76" t="n">
        <x:f>IFERROR(INDEX('Inventory'!$F$2:$F$71,MATCH(E621,'Inventory'!$A$2:$A$71,0)),0)</x:f>
        <x:v>1037</x:v>
      </x:c>
      <x:c r="L621" s="76" t="n">
        <x:f>SUMIFS('Open_POs'!$D$2:$D$26,'Open_POs'!$B$2:$B$26,E621,'Open_POs'!$E$2:$E$26,"&lt;="&amp;B621)</x:f>
        <x:v>0</x:v>
      </x:c>
      <x:c r="M621" s="76" t="n">
        <x:f>J621+L621</x:f>
        <x:v>16230</x:v>
      </x:c>
      <x:c r="N621" s="76" t="n">
        <x:f>SUMIFS($I$2:I621,$E$2:E621,E621)</x:f>
        <x:v>14931.600000000002</x:v>
      </x:c>
      <x:c r="O621" s="76" t="n">
        <x:f>M621-N621</x:f>
        <x:v>1298.3999999999978</x:v>
      </x:c>
      <x:c r="P621" s="71" t="str">
        <x:f>IF(O621&lt;0,"SHORT",IF(O621&lt;K621,"BELOW TARGET","COVERED"))</x:f>
        <x:v>COVERED</x:v>
      </x:c>
      <x:c r="Q621" s="63" t="str">
        <x:f>IF(AND(P621="SHORT",COUNTIFS($E$2:E621,E621,$P$2:P621,"SHORT")=1),B621,"")</x:f>
      </x:c>
    </x:row>
    <x:row r="622" ht="15" customHeight="1">
      <x:c r="A622" s="71" t="str">
        <x:v>SO-26064</x:v>
      </x:c>
      <x:c r="B622" s="75" t="n">
        <x:v>46296</x:v>
      </x:c>
      <x:c r="C622" s="71" t="str">
        <x:v>Normal</x:v>
      </x:c>
      <x:c r="D622" s="71" t="str">
        <x:v>FG-004</x:v>
      </x:c>
      <x:c r="E622" s="71" t="str">
        <x:v>RM-016</x:v>
      </x:c>
      <x:c r="F622" s="71" t="str">
        <x:v>Resin 016</x:v>
      </x:c>
      <x:c r="G622" s="76" t="n">
        <x:v>50</x:v>
      </x:c>
      <x:c r="H622" s="76" t="n">
        <x:v>47.78</x:v>
      </x:c>
      <x:c r="I622" s="76" t="n">
        <x:f>G622*H622</x:f>
        <x:v>2389</x:v>
      </x:c>
      <x:c r="J622" s="76" t="n">
        <x:f>IFERROR(INDEX('Inventory'!$E$2:$E$71,MATCH(E622,'Inventory'!$A$2:$A$71,0)),0)</x:f>
        <x:v>116</x:v>
      </x:c>
      <x:c r="K622" s="76" t="n">
        <x:f>IFERROR(INDEX('Inventory'!$F$2:$F$71,MATCH(E622,'Inventory'!$A$2:$A$71,0)),0)</x:f>
        <x:v>888</x:v>
      </x:c>
      <x:c r="L622" s="76" t="n">
        <x:f>SUMIFS('Open_POs'!$D$2:$D$26,'Open_POs'!$B$2:$B$26,E622,'Open_POs'!$E$2:$E$26,"&lt;="&amp;B622)</x:f>
        <x:v>0</x:v>
      </x:c>
      <x:c r="M622" s="76" t="n">
        <x:f>J622+L622</x:f>
        <x:v>116</x:v>
      </x:c>
      <x:c r="N622" s="76" t="n">
        <x:f>SUMIFS($I$2:I622,$E$2:E622,E622)</x:f>
        <x:v>21192.9</x:v>
      </x:c>
      <x:c r="O622" s="76" t="n">
        <x:f>M622-N622</x:f>
        <x:v>-21076.9</x:v>
      </x:c>
      <x:c r="P622" s="71" t="str">
        <x:f>IF(O622&lt;0,"SHORT",IF(O622&lt;K622,"BELOW TARGET","COVERED"))</x:f>
        <x:v>SHORT</x:v>
      </x:c>
      <x:c r="Q622" s="63" t="str">
        <x:f>IF(AND(P622="SHORT",COUNTIFS($E$2:E622,E622,$P$2:P622,"SHORT")=1),B622,"")</x:f>
      </x:c>
    </x:row>
    <x:row r="623" ht="15" customHeight="1">
      <x:c r="A623" s="71" t="str">
        <x:v>SO-26064</x:v>
      </x:c>
      <x:c r="B623" s="75" t="n">
        <x:v>46296</x:v>
      </x:c>
      <x:c r="C623" s="71" t="str">
        <x:v>Normal</x:v>
      </x:c>
      <x:c r="D623" s="71" t="str">
        <x:v>FG-004</x:v>
      </x:c>
      <x:c r="E623" s="71" t="str">
        <x:v>RM-021</x:v>
      </x:c>
      <x:c r="F623" s="71" t="str">
        <x:v>Resin 021</x:v>
      </x:c>
      <x:c r="G623" s="76" t="n">
        <x:v>50</x:v>
      </x:c>
      <x:c r="H623" s="76" t="n">
        <x:v>34.73</x:v>
      </x:c>
      <x:c r="I623" s="76" t="n">
        <x:f>G623*H623</x:f>
        <x:v>1736.4999999999998</x:v>
      </x:c>
      <x:c r="J623" s="76" t="n">
        <x:f>IFERROR(INDEX('Inventory'!$E$2:$E$71,MATCH(E623,'Inventory'!$A$2:$A$71,0)),0)</x:f>
        <x:v>8041</x:v>
      </x:c>
      <x:c r="K623" s="76" t="n">
        <x:f>IFERROR(INDEX('Inventory'!$F$2:$F$71,MATCH(E623,'Inventory'!$A$2:$A$71,0)),0)</x:f>
        <x:v>264</x:v>
      </x:c>
      <x:c r="L623" s="76" t="n">
        <x:f>SUMIFS('Open_POs'!$D$2:$D$26,'Open_POs'!$B$2:$B$26,E623,'Open_POs'!$E$2:$E$26,"&lt;="&amp;B623)</x:f>
        <x:v>0</x:v>
      </x:c>
      <x:c r="M623" s="76" t="n">
        <x:f>J623+L623</x:f>
        <x:v>8041</x:v>
      </x:c>
      <x:c r="N623" s="76" t="n">
        <x:f>SUMIFS($I$2:I623,$E$2:E623,E623)</x:f>
        <x:v>29534.6</x:v>
      </x:c>
      <x:c r="O623" s="76" t="n">
        <x:f>M623-N623</x:f>
        <x:v>-21493.6</x:v>
      </x:c>
      <x:c r="P623" s="71" t="str">
        <x:f>IF(O623&lt;0,"SHORT",IF(O623&lt;K623,"BELOW TARGET","COVERED"))</x:f>
        <x:v>SHORT</x:v>
      </x:c>
      <x:c r="Q623" s="63" t="str">
        <x:f>IF(AND(P623="SHORT",COUNTIFS($E$2:E623,E623,$P$2:P623,"SHORT")=1),B623,"")</x:f>
      </x:c>
    </x:row>
    <x:row r="624" ht="15" customHeight="1">
      <x:c r="A624" s="71" t="str">
        <x:v>SO-26064</x:v>
      </x:c>
      <x:c r="B624" s="75" t="n">
        <x:v>46296</x:v>
      </x:c>
      <x:c r="C624" s="71" t="str">
        <x:v>Normal</x:v>
      </x:c>
      <x:c r="D624" s="71" t="str">
        <x:v>FG-004</x:v>
      </x:c>
      <x:c r="E624" s="71" t="str">
        <x:v>RM-034</x:v>
      </x:c>
      <x:c r="F624" s="71" t="str">
        <x:v>Additive 034</x:v>
      </x:c>
      <x:c r="G624" s="76" t="n">
        <x:v>50</x:v>
      </x:c>
      <x:c r="H624" s="76" t="n">
        <x:v>107.4</x:v>
      </x:c>
      <x:c r="I624" s="76" t="n">
        <x:f>G624*H624</x:f>
        <x:v>5370</x:v>
      </x:c>
      <x:c r="J624" s="76" t="n">
        <x:f>IFERROR(INDEX('Inventory'!$E$2:$E$71,MATCH(E624,'Inventory'!$A$2:$A$71,0)),0)</x:f>
        <x:v>1971</x:v>
      </x:c>
      <x:c r="K624" s="76" t="n">
        <x:f>IFERROR(INDEX('Inventory'!$F$2:$F$71,MATCH(E624,'Inventory'!$A$2:$A$71,0)),0)</x:f>
        <x:v>1061</x:v>
      </x:c>
      <x:c r="L624" s="76" t="n">
        <x:f>SUMIFS('Open_POs'!$D$2:$D$26,'Open_POs'!$B$2:$B$26,E624,'Open_POs'!$E$2:$E$26,"&lt;="&amp;B624)</x:f>
        <x:v>0</x:v>
      </x:c>
      <x:c r="M624" s="76" t="n">
        <x:f>J624+L624</x:f>
        <x:v>1971</x:v>
      </x:c>
      <x:c r="N624" s="76" t="n">
        <x:f>SUMIFS($I$2:I624,$E$2:E624,E624)</x:f>
        <x:v>51907.6</x:v>
      </x:c>
      <x:c r="O624" s="76" t="n">
        <x:f>M624-N624</x:f>
        <x:v>-49936.6</x:v>
      </x:c>
      <x:c r="P624" s="71" t="str">
        <x:f>IF(O624&lt;0,"SHORT",IF(O624&lt;K624,"BELOW TARGET","COVERED"))</x:f>
        <x:v>SHORT</x:v>
      </x:c>
      <x:c r="Q624" s="63" t="str">
        <x:f>IF(AND(P624="SHORT",COUNTIFS($E$2:E624,E624,$P$2:P624,"SHORT")=1),B624,"")</x:f>
      </x:c>
    </x:row>
    <x:row r="625" ht="15" customHeight="1">
      <x:c r="A625" s="71" t="str">
        <x:v>SO-26064</x:v>
      </x:c>
      <x:c r="B625" s="75" t="n">
        <x:v>46296</x:v>
      </x:c>
      <x:c r="C625" s="71" t="str">
        <x:v>Normal</x:v>
      </x:c>
      <x:c r="D625" s="71" t="str">
        <x:v>FG-004</x:v>
      </x:c>
      <x:c r="E625" s="71" t="str">
        <x:v>RM-045</x:v>
      </x:c>
      <x:c r="F625" s="71" t="str">
        <x:v>Packaging 045</x:v>
      </x:c>
      <x:c r="G625" s="76" t="n">
        <x:v>50</x:v>
      </x:c>
      <x:c r="H625" s="76" t="n">
        <x:v>48.84</x:v>
      </x:c>
      <x:c r="I625" s="76" t="n">
        <x:f>G625*H625</x:f>
        <x:v>2442</x:v>
      </x:c>
      <x:c r="J625" s="76" t="n">
        <x:f>IFERROR(INDEX('Inventory'!$E$2:$E$71,MATCH(E625,'Inventory'!$A$2:$A$71,0)),0)</x:f>
        <x:v>16745</x:v>
      </x:c>
      <x:c r="K625" s="76" t="n">
        <x:f>IFERROR(INDEX('Inventory'!$F$2:$F$71,MATCH(E625,'Inventory'!$A$2:$A$71,0)),0)</x:f>
        <x:v>634</x:v>
      </x:c>
      <x:c r="L625" s="76" t="n">
        <x:f>SUMIFS('Open_POs'!$D$2:$D$26,'Open_POs'!$B$2:$B$26,E625,'Open_POs'!$E$2:$E$26,"&lt;="&amp;B625)</x:f>
        <x:v>0</x:v>
      </x:c>
      <x:c r="M625" s="76" t="n">
        <x:f>J625+L625</x:f>
        <x:v>16745</x:v>
      </x:c>
      <x:c r="N625" s="76" t="n">
        <x:f>SUMIFS($I$2:I625,$E$2:E625,E625)</x:f>
        <x:v>9279.6</x:v>
      </x:c>
      <x:c r="O625" s="76" t="n">
        <x:f>M625-N625</x:f>
        <x:v>7465.4</x:v>
      </x:c>
      <x:c r="P625" s="71" t="str">
        <x:f>IF(O625&lt;0,"SHORT",IF(O625&lt;K625,"BELOW TARGET","COVERED"))</x:f>
        <x:v>COVERED</x:v>
      </x:c>
      <x:c r="Q625" s="63" t="str">
        <x:f>IF(AND(P625="SHORT",COUNTIFS($E$2:E625,E625,$P$2:P625,"SHORT")=1),B625,"")</x:f>
      </x:c>
    </x:row>
    <x:row r="626" ht="15" customHeight="1">
      <x:c r="A626" s="71" t="str">
        <x:v>SO-26064</x:v>
      </x:c>
      <x:c r="B626" s="75" t="n">
        <x:v>46296</x:v>
      </x:c>
      <x:c r="C626" s="71" t="str">
        <x:v>Normal</x:v>
      </x:c>
      <x:c r="D626" s="71" t="str">
        <x:v>FG-004</x:v>
      </x:c>
      <x:c r="E626" s="71" t="str">
        <x:v>RM-061</x:v>
      </x:c>
      <x:c r="F626" s="71" t="str">
        <x:v>Resin 061</x:v>
      </x:c>
      <x:c r="G626" s="76" t="n">
        <x:v>50</x:v>
      </x:c>
      <x:c r="H626" s="76" t="n">
        <x:v>85.98</x:v>
      </x:c>
      <x:c r="I626" s="76" t="n">
        <x:f>G626*H626</x:f>
        <x:v>4299</x:v>
      </x:c>
      <x:c r="J626" s="76" t="n">
        <x:f>IFERROR(INDEX('Inventory'!$E$2:$E$71,MATCH(E626,'Inventory'!$A$2:$A$71,0)),0)</x:f>
        <x:v>16149</x:v>
      </x:c>
      <x:c r="K626" s="76" t="n">
        <x:f>IFERROR(INDEX('Inventory'!$F$2:$F$71,MATCH(E626,'Inventory'!$A$2:$A$71,0)),0)</x:f>
        <x:v>521</x:v>
      </x:c>
      <x:c r="L626" s="76" t="n">
        <x:f>SUMIFS('Open_POs'!$D$2:$D$26,'Open_POs'!$B$2:$B$26,E626,'Open_POs'!$E$2:$E$26,"&lt;="&amp;B626)</x:f>
        <x:v>0</x:v>
      </x:c>
      <x:c r="M626" s="76" t="n">
        <x:f>J626+L626</x:f>
        <x:v>16149</x:v>
      </x:c>
      <x:c r="N626" s="76" t="n">
        <x:f>SUMIFS($I$2:I626,$E$2:E626,E626)</x:f>
        <x:v>16336.2</x:v>
      </x:c>
      <x:c r="O626" s="76" t="n">
        <x:f>M626-N626</x:f>
        <x:v>-187.20000000000073</x:v>
      </x:c>
      <x:c r="P626" s="71" t="str">
        <x:f>IF(O626&lt;0,"SHORT",IF(O626&lt;K626,"BELOW TARGET","COVERED"))</x:f>
        <x:v>SHORT</x:v>
      </x:c>
      <x:c r="Q626" s="63" t="n">
        <x:f>IF(AND(P626="SHORT",COUNTIFS($E$2:E626,E626,$P$2:P626,"SHORT")=1),B626,"")</x:f>
        <x:v>46296</x:v>
      </x:c>
    </x:row>
  </x:sheetData>
  <x:conditionalFormatting sqref="I2:I626">
    <x:cfRule type="expression" dxfId="2" priority="1">
      <x:formula>I2="SHORT"</x:formula>
    </x:cfRule>
    <x:cfRule type="expression" dxfId="3" priority="2">
      <x:formula>I2="OK"</x:formula>
    </x:cfRule>
  </x:conditionalFormatting>
  <x:conditionalFormatting sqref="P2:P626">
    <x:cfRule type="containsText" dxfId="15" priority="3" operator="containsText" text="SHORT"/>
    <x:cfRule type="containsText" dxfId="16" priority="4" operator="containsText" text="BELOW TARGET"/>
    <x:cfRule type="containsText" dxfId="17" priority="5" operator="containsText" text="COVERED"/>
  </x:conditionalFormatting>
  <x:pageMargins left="0.7" right="0.7" top="0.75" bottom="0.75" header="0.3" footer="0.3"/>
  <x:legacyDrawing xmlns:r="http://schemas.openxmlformats.org/officeDocument/2006/relationships" r:id="Rdf1e708a156c401e"/>
  <x:tableParts count="1">
    <x:tablePart xmlns:r="http://schemas.openxmlformats.org/officeDocument/2006/relationships" r:id="Rb477b43c8a6a4a6a"/>
  </x:tableParts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.559999465942383" hidden="0" customWidth="1"/>
    <x:col min="2" max="2" width="76.66999816894531" hidden="0" customWidth="1"/>
  </x:cols>
  <x:sheetData>
    <x:row r="1" ht="31.5" customHeight="1">
      <x:c r="A1" s="175" t="str">
        <x:v>CB3 WORKS  |  DEMO 02 — PRODUCTION &amp; MATERIAL READINESS</x:v>
      </x:c>
      <x:c r="B1" s="175" t="str"/>
      <x:c r="C1" s="32"/>
      <x:c r="D1" s="32"/>
      <x:c r="E1" s="32"/>
      <x:c r="F1" s="32"/>
      <x:c r="G1" s="32"/>
      <x:c r="H1" s="32"/>
    </x:row>
    <x:row r="2" ht="4.5" customHeight="1">
      <x:c r="A2" s="176"/>
      <x:c r="B2" s="176"/>
    </x:row>
    <x:row r="3" ht="27" customHeight="1">
      <x:c r="A3" s="183" t="str">
        <x:v>Purpose</x:v>
      </x:c>
      <x:c r="B3" s="184" t="str">
        <x:v>Combine open orders, BOMs, inventory and open purchase orders into a production-readiness view.</x:v>
      </x:c>
    </x:row>
    <x:row r="4" ht="27" customHeight="1">
      <x:c r="A4" s="185" t="str">
        <x:v>Scenario</x:v>
      </x:c>
      <x:c r="B4" s="186" t="str">
        <x:v>Fictional manufacturer with 24 finished goods, 70 raw materials and 90 open customer orders.</x:v>
      </x:c>
    </x:row>
    <x:row r="5" ht="27" customHeight="1">
      <x:c r="A5" s="185" t="str">
        <x:v>Open_Orders</x:v>
      </x:c>
      <x:c r="B5" s="186" t="str">
        <x:v>Customer demand, quantities, due dates and priorities.</x:v>
      </x:c>
    </x:row>
    <x:row r="6" ht="27" customHeight="1">
      <x:c r="A6" s="185" t="str">
        <x:v>BOM</x:v>
      </x:c>
      <x:c r="B6" s="186" t="str">
        <x:v>Synthetic finished-good formulas linking products to raw materials.</x:v>
      </x:c>
    </x:row>
    <x:row r="7" ht="27" customHeight="1">
      <x:c r="A7" s="185" t="str">
        <x:v>Inventory</x:v>
      </x:c>
      <x:c r="B7" s="186" t="str">
        <x:v>Raw-material on-hand, safety stock, lead time and cost.</x:v>
      </x:c>
    </x:row>
    <x:row r="8" ht="27" customHeight="1">
      <x:c r="A8" s="185" t="str">
        <x:v>Open_POs</x:v>
      </x:c>
      <x:c r="B8" s="186" t="str">
        <x:v>Incoming raw-material quantities and expected dates.</x:v>
      </x:c>
    </x:row>
    <x:row r="9" ht="27" customHeight="1">
      <x:c r="A9" s="185" t="str">
        <x:v>Material_Requirements</x:v>
      </x:c>
      <x:c r="B9" s="186" t="str">
        <x:v>Explodes customer demand to BOM level and checks material position.</x:v>
      </x:c>
    </x:row>
    <x:row r="10" ht="27" customHeight="1">
      <x:c r="A10" s="185" t="str">
        <x:v>Production_Plan</x:v>
      </x:c>
      <x:c r="B10" s="186" t="str">
        <x:v>Surfaces material risk and planning priority by customer order.</x:v>
      </x:c>
    </x:row>
    <x:row r="11" ht="27" customHeight="1">
      <x:c r="A11" s="185" t="str">
        <x:v>Command_Center</x:v>
      </x:c>
      <x:c r="B11" s="186" t="str">
        <x:v>Management exception view for at-risk orders, due dates and constraints.</x:v>
      </x:c>
    </x:row>
    <x:row r="12" ht="27" customHeight="1">
      <x:c r="A12" s="185" t="str">
        <x:v>Data policy</x:v>
      </x:c>
      <x:c r="B12" s="186" t="str">
        <x:v>All names, SKUs, quantities, BOMs, costs and business data are fictional.</x:v>
      </x:c>
    </x:row>
    <x:row r="13" ht="27" customHeight="1">
      <x:c r="A13" s="191" t="str">
        <x:v>Batch Size Assumption</x:v>
      </x:c>
      <x:c r="B13" s="186" t="n">
        <x:v>250</x:v>
      </x:c>
    </x:row>
    <x:row r="14" ht="27" customHeight="1">
      <x:c r="A14" s="191" t="str">
        <x:v>As-of Date</x:v>
      </x:c>
      <x:c r="B14" s="187" t="n">
        <x:v>46254</x:v>
      </x:c>
    </x:row>
    <x:row r="15" ht="27" customHeight="1">
      <x:c r="A15" s="191" t="str">
        <x:v>Allocation Rule</x:v>
      </x:c>
      <x:c r="B15" s="186" t="str">
        <x:v>Requirements are sorted by due date and priority. Cumulative demand allocates shared material once; only POs due by each order date count as available.</x:v>
      </x:c>
    </x:row>
    <x:row r="16" ht="27" customHeight="1">
      <x:c r="A16" s="191" t="str">
        <x:v>Coverage Status</x:v>
      </x:c>
      <x:c r="B16" s="186" t="str">
        <x:v>SHORT = projected balance below zero; BELOW TARGET = nonnegative balance below safety stock; COVERED = at or above safety stock.</x:v>
      </x:c>
    </x:row>
    <x:row r="17" ht="27" customHeight="1">
      <x:c r="A17" s="191" t="str">
        <x:v>Verification</x:v>
      </x:c>
      <x:c r="B17" s="186" t="str">
        <x:v>Material rows reconcile projected balance to on-hand + PO due by order date − cumulative demand. Summary counts unique materials, not exploded lines.</x:v>
      </x:c>
    </x:row>
    <x:row r="18" ht="27" customHeight="1">
      <x:c r="A18" s="191" t="str">
        <x:v>Refresh Note</x:v>
      </x:c>
      <x:c r="B18" s="186" t="str">
        <x:v>Input tabs are a static synthetic snapshot. Refresh the sorted requirement and summary order after replacing inputs.</x:v>
      </x:c>
    </x:row>
    <x:row r="19" ht="27" customHeight="1">
      <x:c r="A19" s="185" t="str">
        <x:v>Data policy</x:v>
      </x:c>
      <x:c r="B19" s="186" t="str">
        <x:v>All names, SKUs, quantities, BOMs, costs and business data are fictional.</x:v>
      </x:c>
    </x:row>
    <x:row r="20" ht="27" customHeight="1">
      <x:c r="A20" s="188" t="str">
        <x:v>Positioning</x:v>
      </x:c>
      <x:c r="B20" s="189" t="str">
        <x:v>CB3 Works — Manufacturing Data &amp; Automation.</x:v>
      </x:c>
    </x:row>
    <x:row r="21" ht="18.75" customHeight="1">
      <x:c r="A21" s="151" t="str">
        <x:v>CB3 WORKS  |  MANUFACTURING DATA &amp; AUTOMATION  |  CB3WORKS.COM  |  SYNTHETIC DEMO 02</x:v>
      </x:c>
      <x:c r="B21" s="151" t="str">
        <x:v>CB3 WORKS  |  MANUFACTURING DATA &amp; AUTOMATION  |  CB3WORKS.COM  |  SYNTHETIC DEMO 02</x:v>
      </x:c>
    </x:row>
  </x:sheetData>
  <x:mergeCells>
    <x:mergeCell ref="A21:B2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.890000343322754" hidden="0" customWidth="1"/>
    <x:col min="2" max="2" width="20.559999465942383" hidden="0" customWidth="1"/>
    <x:col min="3" max="3" width="9.329999923706055" hidden="0" customWidth="1"/>
    <x:col min="4" max="4" width="10.220000267028809" hidden="0" customWidth="1"/>
    <x:col min="5" max="5" width="10.890000343322754" hidden="0" customWidth="1"/>
    <x:col min="6" max="6" width="11.329999923706055" hidden="0" customWidth="1"/>
    <x:col min="7" max="7" width="10.5600004196167" hidden="0" customWidth="1"/>
    <x:col min="8" max="8" width="11.329999923706055" hidden="0" customWidth="1"/>
    <x:col min="9" max="9" width="12" hidden="0" customWidth="1"/>
    <x:col min="10" max="10" width="10.5600004196167" hidden="0" customWidth="1"/>
    <x:col min="11" max="11" width="12.4399995803833" hidden="0" customWidth="1"/>
  </x:cols>
  <x:sheetData>
    <x:row r="1" ht="27" customHeight="1">
      <x:c r="A1" s="61" t="str">
        <x:v>Raw Material</x:v>
      </x:c>
      <x:c r="B1" s="61" t="str">
        <x:v>Description</x:v>
      </x:c>
      <x:c r="C1" s="61" t="str">
        <x:v>On Hand</x:v>
      </x:c>
      <x:c r="D1" s="61" t="str">
        <x:v>Safety Stock</x:v>
      </x:c>
      <x:c r="E1" s="61" t="str">
        <x:v>Total Open PO</x:v>
      </x:c>
      <x:c r="F1" s="61" t="str">
        <x:v>Horizon Demand</x:v>
      </x:c>
      <x:c r="G1" s="61" t="str">
        <x:v>End Balance</x:v>
      </x:c>
      <x:c r="H1" s="61" t="str">
        <x:v>Affected Orders</x:v>
      </x:c>
      <x:c r="I1" s="61" t="str">
        <x:v>Earliest Short Due</x:v>
      </x:c>
      <x:c r="J1" s="61" t="str">
        <x:v>Worst Balance</x:v>
      </x:c>
      <x:c r="K1" s="61" t="str">
        <x:v>Coverage Status</x:v>
      </x:c>
    </x:row>
    <x:row r="2" ht="15" customHeight="1">
      <x:c r="A2" s="71" t="str">
        <x:v>RM-032</x:v>
      </x:c>
      <x:c r="B2" s="71" t="str">
        <x:f>IFERROR(INDEX('Inventory'!$B$2:$B$71,MATCH(A2,'Inventory'!$A$2:$A$71,0)),"")</x:f>
        <x:v>Pigment 032</x:v>
      </x:c>
      <x:c r="C2" s="76" t="n">
        <x:f>IFERROR(INDEX('Inventory'!$E$2:$E$71,MATCH(A2,'Inventory'!$A$2:$A$71,0)),0)</x:f>
        <x:v>674</x:v>
      </x:c>
      <x:c r="D2" s="76" t="n">
        <x:f>IFERROR(INDEX('Inventory'!$F$2:$F$71,MATCH(A2,'Inventory'!$A$2:$A$71,0)),0)</x:f>
        <x:v>1056</x:v>
      </x:c>
      <x:c r="E2" s="76" t="n">
        <x:f>SUMIFS('Open_POs'!$D$2:$D$26,'Open_POs'!$B$2:$B$26,A2)</x:f>
        <x:v>2500</x:v>
      </x:c>
      <x:c r="F2" s="76" t="n">
        <x:f>SUMIFS('Material_Requirements'!$I$2:$I$626,'Material_Requirements'!$E$2:$E$626,A2)</x:f>
        <x:v>76892.4</x:v>
      </x:c>
      <x:c r="G2" s="76" t="n">
        <x:f>C2+E2-F2</x:f>
        <x:v>-73718.4</x:v>
      </x:c>
      <x:c r="H2" s="76" t="n">
        <x:f>COUNTIFS('Material_Requirements'!$E$2:$E$626,A2,'Material_Requirements'!$P$2:$P$626,"SHORT")</x:f>
        <x:v>18</x:v>
      </x:c>
      <x:c r="I2" s="75" t="n">
        <x:f>IF(H2=0,"",SUMIFS('Material_Requirements'!$Q$2:$Q$626,'Material_Requirements'!$E$2:$E$626,A2))</x:f>
        <x:v>46256</x:v>
      </x:c>
      <x:c r="J2" s="76" t="n">
        <x:f>IF(F2=0,C2+E2,AGGREGATE(15,6,'Material_Requirements'!$O$2:$O$626/('Material_Requirements'!$E$2:$E$626=A2),1))</x:f>
        <x:v>-73718.4</x:v>
      </x:c>
      <x:c r="K2" s="71" t="str">
        <x:f>IF(H2&gt;0,"SHORT",IF(COUNTIFS('Material_Requirements'!$E$2:$E$626,A2,'Material_Requirements'!$P$2:$P$626,"BELOW TARGET")&gt;0,"BELOW TARGET","COVERED"))</x:f>
        <x:v>SHORT</x:v>
      </x:c>
    </x:row>
    <x:row r="3" ht="15" customHeight="1">
      <x:c r="A3" s="71" t="str">
        <x:v>RM-063</x:v>
      </x:c>
      <x:c r="B3" s="71" t="str">
        <x:f>IFERROR(INDEX('Inventory'!$B$2:$B$71,MATCH(A3,'Inventory'!$A$2:$A$71,0)),"")</x:f>
        <x:v>Filler 063</x:v>
      </x:c>
      <x:c r="C3" s="76" t="n">
        <x:f>IFERROR(INDEX('Inventory'!$E$2:$E$71,MATCH(A3,'Inventory'!$A$2:$A$71,0)),0)</x:f>
        <x:v>7508</x:v>
      </x:c>
      <x:c r="D3" s="76" t="n">
        <x:f>IFERROR(INDEX('Inventory'!$F$2:$F$71,MATCH(A3,'Inventory'!$A$2:$A$71,0)),0)</x:f>
        <x:v>1090</x:v>
      </x:c>
      <x:c r="E3" s="76" t="n">
        <x:f>SUMIFS('Open_POs'!$D$2:$D$26,'Open_POs'!$B$2:$B$26,A3)</x:f>
        <x:v>5000</x:v>
      </x:c>
      <x:c r="F3" s="76" t="n">
        <x:f>SUMIFS('Material_Requirements'!$I$2:$I$626,'Material_Requirements'!$E$2:$E$626,A3)</x:f>
        <x:v>84998.29999999999</x:v>
      </x:c>
      <x:c r="G3" s="76" t="n">
        <x:f>C3+E3-F3</x:f>
        <x:v>-72490.29999999999</x:v>
      </x:c>
      <x:c r="H3" s="76" t="n">
        <x:f>COUNTIFS('Material_Requirements'!$E$2:$E$626,A3,'Material_Requirements'!$P$2:$P$626,"SHORT")</x:f>
        <x:v>21</x:v>
      </x:c>
      <x:c r="I3" s="75" t="n">
        <x:f>IF(H3=0,"",SUMIFS('Material_Requirements'!$Q$2:$Q$626,'Material_Requirements'!$E$2:$E$626,A3))</x:f>
        <x:v>46257</x:v>
      </x:c>
      <x:c r="J3" s="76" t="n">
        <x:f>IF(F3=0,C3+E3,AGGREGATE(15,6,'Material_Requirements'!$O$2:$O$626/('Material_Requirements'!$E$2:$E$626=A3),1))</x:f>
        <x:v>-72490.29999999999</x:v>
      </x:c>
      <x:c r="K3" s="71" t="str">
        <x:f>IF(H3&gt;0,"SHORT",IF(COUNTIFS('Material_Requirements'!$E$2:$E$626,A3,'Material_Requirements'!$P$2:$P$626,"BELOW TARGET")&gt;0,"BELOW TARGET","COVERED"))</x:f>
        <x:v>SHORT</x:v>
      </x:c>
    </x:row>
    <x:row r="4" ht="15" customHeight="1">
      <x:c r="A4" s="71" t="str">
        <x:v>RM-010</x:v>
      </x:c>
      <x:c r="B4" s="71" t="str">
        <x:f>IFERROR(INDEX('Inventory'!$B$2:$B$71,MATCH(A4,'Inventory'!$A$2:$A$71,0)),"")</x:f>
        <x:v>Packaging 010</x:v>
      </x:c>
      <x:c r="C4" s="76" t="n">
        <x:f>IFERROR(INDEX('Inventory'!$E$2:$E$71,MATCH(A4,'Inventory'!$A$2:$A$71,0)),0)</x:f>
        <x:v>14191</x:v>
      </x:c>
      <x:c r="D4" s="76" t="n">
        <x:f>IFERROR(INDEX('Inventory'!$F$2:$F$71,MATCH(A4,'Inventory'!$A$2:$A$71,0)),0)</x:f>
        <x:v>615</x:v>
      </x:c>
      <x:c r="E4" s="76" t="n">
        <x:f>SUMIFS('Open_POs'!$D$2:$D$26,'Open_POs'!$B$2:$B$26,A4)</x:f>
        <x:v>0</x:v>
      </x:c>
      <x:c r="F4" s="76" t="n">
        <x:f>SUMIFS('Material_Requirements'!$I$2:$I$626,'Material_Requirements'!$E$2:$E$626,A4)</x:f>
        <x:v>79726.80000000002</x:v>
      </x:c>
      <x:c r="G4" s="76" t="n">
        <x:f>C4+E4-F4</x:f>
        <x:v>-65535.80000000002</x:v>
      </x:c>
      <x:c r="H4" s="76" t="n">
        <x:f>COUNTIFS('Material_Requirements'!$E$2:$E$626,A4,'Material_Requirements'!$P$2:$P$626,"SHORT")</x:f>
        <x:v>17</x:v>
      </x:c>
      <x:c r="I4" s="75" t="n">
        <x:f>IF(H4=0,"",SUMIFS('Material_Requirements'!$Q$2:$Q$626,'Material_Requirements'!$E$2:$E$626,A4))</x:f>
        <x:v>46263</x:v>
      </x:c>
      <x:c r="J4" s="76" t="n">
        <x:f>IF(F4=0,C4+E4,AGGREGATE(15,6,'Material_Requirements'!$O$2:$O$626/('Material_Requirements'!$E$2:$E$626=A4),1))</x:f>
        <x:v>-65535.80000000002</x:v>
      </x:c>
      <x:c r="K4" s="71" t="str">
        <x:f>IF(H4&gt;0,"SHORT",IF(COUNTIFS('Material_Requirements'!$E$2:$E$626,A4,'Material_Requirements'!$P$2:$P$626,"BELOW TARGET")&gt;0,"BELOW TARGET","COVERED"))</x:f>
        <x:v>SHORT</x:v>
      </x:c>
    </x:row>
    <x:row r="5" ht="15" customHeight="1">
      <x:c r="A5" s="71" t="str">
        <x:v>RM-058</x:v>
      </x:c>
      <x:c r="B5" s="71" t="str">
        <x:f>IFERROR(INDEX('Inventory'!$B$2:$B$71,MATCH(A5,'Inventory'!$A$2:$A$71,0)),"")</x:f>
        <x:v>Filler 058</x:v>
      </x:c>
      <x:c r="C5" s="76" t="n">
        <x:f>IFERROR(INDEX('Inventory'!$E$2:$E$71,MATCH(A5,'Inventory'!$A$2:$A$71,0)),0)</x:f>
        <x:v>9929</x:v>
      </x:c>
      <x:c r="D5" s="76" t="n">
        <x:f>IFERROR(INDEX('Inventory'!$F$2:$F$71,MATCH(A5,'Inventory'!$A$2:$A$71,0)),0)</x:f>
        <x:v>701</x:v>
      </x:c>
      <x:c r="E5" s="76" t="n">
        <x:f>SUMIFS('Open_POs'!$D$2:$D$26,'Open_POs'!$B$2:$B$26,A5)</x:f>
        <x:v>0</x:v>
      </x:c>
      <x:c r="F5" s="76" t="n">
        <x:f>SUMIFS('Material_Requirements'!$I$2:$I$626,'Material_Requirements'!$E$2:$E$626,A5)</x:f>
        <x:v>74417.40000000001</x:v>
      </x:c>
      <x:c r="G5" s="76" t="n">
        <x:f>C5+E5-F5</x:f>
        <x:v>-64488.40000000001</x:v>
      </x:c>
      <x:c r="H5" s="76" t="n">
        <x:f>COUNTIFS('Material_Requirements'!$E$2:$E$626,A5,'Material_Requirements'!$P$2:$P$626,"SHORT")</x:f>
        <x:v>20</x:v>
      </x:c>
      <x:c r="I5" s="75" t="n">
        <x:f>IF(H5=0,"",SUMIFS('Material_Requirements'!$Q$2:$Q$626,'Material_Requirements'!$E$2:$E$626,A5))</x:f>
        <x:v>46263</x:v>
      </x:c>
      <x:c r="J5" s="76" t="n">
        <x:f>IF(F5=0,C5+E5,AGGREGATE(15,6,'Material_Requirements'!$O$2:$O$626/('Material_Requirements'!$E$2:$E$626=A5),1))</x:f>
        <x:v>-64488.40000000001</x:v>
      </x:c>
      <x:c r="K5" s="71" t="str">
        <x:f>IF(H5&gt;0,"SHORT",IF(COUNTIFS('Material_Requirements'!$E$2:$E$626,A5,'Material_Requirements'!$P$2:$P$626,"BELOW TARGET")&gt;0,"BELOW TARGET","COVERED"))</x:f>
        <x:v>SHORT</x:v>
      </x:c>
    </x:row>
    <x:row r="6" ht="15" customHeight="1">
      <x:c r="A6" s="71" t="str">
        <x:v>RM-034</x:v>
      </x:c>
      <x:c r="B6" s="71" t="str">
        <x:f>IFERROR(INDEX('Inventory'!$B$2:$B$71,MATCH(A6,'Inventory'!$A$2:$A$71,0)),"")</x:f>
        <x:v>Additive 034</x:v>
      </x:c>
      <x:c r="C6" s="76" t="n">
        <x:f>IFERROR(INDEX('Inventory'!$E$2:$E$71,MATCH(A6,'Inventory'!$A$2:$A$71,0)),0)</x:f>
        <x:v>1971</x:v>
      </x:c>
      <x:c r="D6" s="76" t="n">
        <x:f>IFERROR(INDEX('Inventory'!$F$2:$F$71,MATCH(A6,'Inventory'!$A$2:$A$71,0)),0)</x:f>
        <x:v>1061</x:v>
      </x:c>
      <x:c r="E6" s="76" t="n">
        <x:f>SUMIFS('Open_POs'!$D$2:$D$26,'Open_POs'!$B$2:$B$26,A6)</x:f>
        <x:v>0</x:v>
      </x:c>
      <x:c r="F6" s="76" t="n">
        <x:f>SUMIFS('Material_Requirements'!$I$2:$I$626,'Material_Requirements'!$E$2:$E$626,A6)</x:f>
        <x:v>51907.6</x:v>
      </x:c>
      <x:c r="G6" s="76" t="n">
        <x:f>C6+E6-F6</x:f>
        <x:v>-49936.6</x:v>
      </x:c>
      <x:c r="H6" s="76" t="n">
        <x:f>COUNTIFS('Material_Requirements'!$E$2:$E$626,A6,'Material_Requirements'!$P$2:$P$626,"SHORT")</x:f>
        <x:v>10</x:v>
      </x:c>
      <x:c r="I6" s="75" t="n">
        <x:f>IF(H6=0,"",SUMIFS('Material_Requirements'!$Q$2:$Q$626,'Material_Requirements'!$E$2:$E$626,A6))</x:f>
        <x:v>46258</x:v>
      </x:c>
      <x:c r="J6" s="76" t="n">
        <x:f>IF(F6=0,C6+E6,AGGREGATE(15,6,'Material_Requirements'!$O$2:$O$626/('Material_Requirements'!$E$2:$E$626=A6),1))</x:f>
        <x:v>-49936.6</x:v>
      </x:c>
      <x:c r="K6" s="71" t="str">
        <x:f>IF(H6&gt;0,"SHORT",IF(COUNTIFS('Material_Requirements'!$E$2:$E$626,A6,'Material_Requirements'!$P$2:$P$626,"BELOW TARGET")&gt;0,"BELOW TARGET","COVERED"))</x:f>
        <x:v>SHORT</x:v>
      </x:c>
    </x:row>
    <x:row r="7" ht="15" customHeight="1">
      <x:c r="A7" s="71" t="str">
        <x:v>RM-009</x:v>
      </x:c>
      <x:c r="B7" s="71" t="str">
        <x:f>IFERROR(INDEX('Inventory'!$B$2:$B$71,MATCH(A7,'Inventory'!$A$2:$A$71,0)),"")</x:f>
        <x:v>Additive 009</x:v>
      </x:c>
      <x:c r="C7" s="76" t="n">
        <x:f>IFERROR(INDEX('Inventory'!$E$2:$E$71,MATCH(A7,'Inventory'!$A$2:$A$71,0)),0)</x:f>
        <x:v>13813</x:v>
      </x:c>
      <x:c r="D7" s="76" t="n">
        <x:f>IFERROR(INDEX('Inventory'!$F$2:$F$71,MATCH(A7,'Inventory'!$A$2:$A$71,0)),0)</x:f>
        <x:v>1377</x:v>
      </x:c>
      <x:c r="E7" s="76" t="n">
        <x:f>SUMIFS('Open_POs'!$D$2:$D$26,'Open_POs'!$B$2:$B$26,A7)</x:f>
        <x:v>0</x:v>
      </x:c>
      <x:c r="F7" s="76" t="n">
        <x:f>SUMIFS('Material_Requirements'!$I$2:$I$626,'Material_Requirements'!$E$2:$E$626,A7)</x:f>
        <x:v>61750.4</x:v>
      </x:c>
      <x:c r="G7" s="76" t="n">
        <x:f>C7+E7-F7</x:f>
        <x:v>-47937.4</x:v>
      </x:c>
      <x:c r="H7" s="76" t="n">
        <x:f>COUNTIFS('Material_Requirements'!$E$2:$E$626,A7,'Material_Requirements'!$P$2:$P$626,"SHORT")</x:f>
        <x:v>14</x:v>
      </x:c>
      <x:c r="I7" s="75" t="n">
        <x:f>IF(H7=0,"",SUMIFS('Material_Requirements'!$Q$2:$Q$626,'Material_Requirements'!$E$2:$E$626,A7))</x:f>
        <x:v>46267</x:v>
      </x:c>
      <x:c r="J7" s="76" t="n">
        <x:f>IF(F7=0,C7+E7,AGGREGATE(15,6,'Material_Requirements'!$O$2:$O$626/('Material_Requirements'!$E$2:$E$626=A7),1))</x:f>
        <x:v>-47937.4</x:v>
      </x:c>
      <x:c r="K7" s="71" t="str">
        <x:f>IF(H7&gt;0,"SHORT",IF(COUNTIFS('Material_Requirements'!$E$2:$E$626,A7,'Material_Requirements'!$P$2:$P$626,"BELOW TARGET")&gt;0,"BELOW TARGET","COVERED"))</x:f>
        <x:v>SHORT</x:v>
      </x:c>
    </x:row>
    <x:row r="8" ht="15" customHeight="1">
      <x:c r="A8" s="71" t="str">
        <x:v>RM-059</x:v>
      </x:c>
      <x:c r="B8" s="71" t="str">
        <x:f>IFERROR(INDEX('Inventory'!$B$2:$B$71,MATCH(A8,'Inventory'!$A$2:$A$71,0)),"")</x:f>
        <x:v>Additive 059</x:v>
      </x:c>
      <x:c r="C8" s="76" t="n">
        <x:f>IFERROR(INDEX('Inventory'!$E$2:$E$71,MATCH(A8,'Inventory'!$A$2:$A$71,0)),0)</x:f>
        <x:v>10488</x:v>
      </x:c>
      <x:c r="D8" s="76" t="n">
        <x:f>IFERROR(INDEX('Inventory'!$F$2:$F$71,MATCH(A8,'Inventory'!$A$2:$A$71,0)),0)</x:f>
        <x:v>1442</x:v>
      </x:c>
      <x:c r="E8" s="76" t="n">
        <x:f>SUMIFS('Open_POs'!$D$2:$D$26,'Open_POs'!$B$2:$B$26,A8)</x:f>
        <x:v>5000</x:v>
      </x:c>
      <x:c r="F8" s="76" t="n">
        <x:f>SUMIFS('Material_Requirements'!$I$2:$I$626,'Material_Requirements'!$E$2:$E$626,A8)</x:f>
        <x:v>62310.3</x:v>
      </x:c>
      <x:c r="G8" s="76" t="n">
        <x:f>C8+E8-F8</x:f>
        <x:v>-46822.3</x:v>
      </x:c>
      <x:c r="H8" s="76" t="n">
        <x:f>COUNTIFS('Material_Requirements'!$E$2:$E$626,A8,'Material_Requirements'!$P$2:$P$626,"SHORT")</x:f>
        <x:v>17</x:v>
      </x:c>
      <x:c r="I8" s="75" t="n">
        <x:f>IF(H8=0,"",SUMIFS('Material_Requirements'!$Q$2:$Q$626,'Material_Requirements'!$E$2:$E$626,A8))</x:f>
        <x:v>46268</x:v>
      </x:c>
      <x:c r="J8" s="76" t="n">
        <x:f>IF(F8=0,C8+E8,AGGREGATE(15,6,'Material_Requirements'!$O$2:$O$626/('Material_Requirements'!$E$2:$E$626=A8),1))</x:f>
        <x:v>-46822.3</x:v>
      </x:c>
      <x:c r="K8" s="71" t="str">
        <x:f>IF(H8&gt;0,"SHORT",IF(COUNTIFS('Material_Requirements'!$E$2:$E$626,A8,'Material_Requirements'!$P$2:$P$626,"BELOW TARGET")&gt;0,"BELOW TARGET","COVERED"))</x:f>
        <x:v>SHORT</x:v>
      </x:c>
    </x:row>
    <x:row r="9" ht="15" customHeight="1">
      <x:c r="A9" s="71" t="str">
        <x:v>RM-039</x:v>
      </x:c>
      <x:c r="B9" s="71" t="str">
        <x:f>IFERROR(INDEX('Inventory'!$B$2:$B$71,MATCH(A9,'Inventory'!$A$2:$A$71,0)),"")</x:f>
        <x:v>Additive 039</x:v>
      </x:c>
      <x:c r="C9" s="76" t="n">
        <x:f>IFERROR(INDEX('Inventory'!$E$2:$E$71,MATCH(A9,'Inventory'!$A$2:$A$71,0)),0)</x:f>
        <x:v>15593</x:v>
      </x:c>
      <x:c r="D9" s="76" t="n">
        <x:f>IFERROR(INDEX('Inventory'!$F$2:$F$71,MATCH(A9,'Inventory'!$A$2:$A$71,0)),0)</x:f>
        <x:v>1243</x:v>
      </x:c>
      <x:c r="E9" s="76" t="n">
        <x:f>SUMIFS('Open_POs'!$D$2:$D$26,'Open_POs'!$B$2:$B$26,A9)</x:f>
        <x:v>0</x:v>
      </x:c>
      <x:c r="F9" s="76" t="n">
        <x:f>SUMIFS('Material_Requirements'!$I$2:$I$626,'Material_Requirements'!$E$2:$E$626,A9)</x:f>
        <x:v>57732.19999999998</x:v>
      </x:c>
      <x:c r="G9" s="76" t="n">
        <x:f>C9+E9-F9</x:f>
        <x:v>-42139.19999999998</x:v>
      </x:c>
      <x:c r="H9" s="76" t="n">
        <x:f>COUNTIFS('Material_Requirements'!$E$2:$E$626,A9,'Material_Requirements'!$P$2:$P$626,"SHORT")</x:f>
        <x:v>14</x:v>
      </x:c>
      <x:c r="I9" s="75" t="n">
        <x:f>IF(H9=0,"",SUMIFS('Material_Requirements'!$Q$2:$Q$626,'Material_Requirements'!$E$2:$E$626,A9))</x:f>
        <x:v>46267</x:v>
      </x:c>
      <x:c r="J9" s="76" t="n">
        <x:f>IF(F9=0,C9+E9,AGGREGATE(15,6,'Material_Requirements'!$O$2:$O$626/('Material_Requirements'!$E$2:$E$626=A9),1))</x:f>
        <x:v>-42139.19999999998</x:v>
      </x:c>
      <x:c r="K9" s="71" t="str">
        <x:f>IF(H9&gt;0,"SHORT",IF(COUNTIFS('Material_Requirements'!$E$2:$E$626,A9,'Material_Requirements'!$P$2:$P$626,"BELOW TARGET")&gt;0,"BELOW TARGET","COVERED"))</x:f>
        <x:v>SHORT</x:v>
      </x:c>
    </x:row>
    <x:row r="10" ht="15" customHeight="1">
      <x:c r="A10" s="71" t="str">
        <x:v>RM-036</x:v>
      </x:c>
      <x:c r="B10" s="71" t="str">
        <x:f>IFERROR(INDEX('Inventory'!$B$2:$B$71,MATCH(A10,'Inventory'!$A$2:$A$71,0)),"")</x:f>
        <x:v>Resin 036</x:v>
      </x:c>
      <x:c r="C10" s="76" t="n">
        <x:f>IFERROR(INDEX('Inventory'!$E$2:$E$71,MATCH(A10,'Inventory'!$A$2:$A$71,0)),0)</x:f>
        <x:v>12427</x:v>
      </x:c>
      <x:c r="D10" s="76" t="n">
        <x:f>IFERROR(INDEX('Inventory'!$F$2:$F$71,MATCH(A10,'Inventory'!$A$2:$A$71,0)),0)</x:f>
        <x:v>1016</x:v>
      </x:c>
      <x:c r="E10" s="76" t="n">
        <x:f>SUMIFS('Open_POs'!$D$2:$D$26,'Open_POs'!$B$2:$B$26,A10)</x:f>
        <x:v>1000</x:v>
      </x:c>
      <x:c r="F10" s="76" t="n">
        <x:f>SUMIFS('Material_Requirements'!$I$2:$I$626,'Material_Requirements'!$E$2:$E$626,A10)</x:f>
        <x:v>55241</x:v>
      </x:c>
      <x:c r="G10" s="76" t="n">
        <x:f>C10+E10-F10</x:f>
        <x:v>-41814</x:v>
      </x:c>
      <x:c r="H10" s="76" t="n">
        <x:f>COUNTIFS('Material_Requirements'!$E$2:$E$626,A10,'Material_Requirements'!$P$2:$P$626,"SHORT")</x:f>
        <x:v>11</x:v>
      </x:c>
      <x:c r="I10" s="75" t="n">
        <x:f>IF(H10=0,"",SUMIFS('Material_Requirements'!$Q$2:$Q$626,'Material_Requirements'!$E$2:$E$626,A10))</x:f>
        <x:v>46269</x:v>
      </x:c>
      <x:c r="J10" s="76" t="n">
        <x:f>IF(F10=0,C10+E10,AGGREGATE(15,6,'Material_Requirements'!$O$2:$O$626/('Material_Requirements'!$E$2:$E$626=A10),1))</x:f>
        <x:v>-41814</x:v>
      </x:c>
      <x:c r="K10" s="71" t="str">
        <x:f>IF(H10&gt;0,"SHORT",IF(COUNTIFS('Material_Requirements'!$E$2:$E$626,A10,'Material_Requirements'!$P$2:$P$626,"BELOW TARGET")&gt;0,"BELOW TARGET","COVERED"))</x:f>
        <x:v>SHORT</x:v>
      </x:c>
    </x:row>
    <x:row r="11" ht="15" customHeight="1">
      <x:c r="A11" s="71" t="str">
        <x:v>RM-024</x:v>
      </x:c>
      <x:c r="B11" s="71" t="str">
        <x:f>IFERROR(INDEX('Inventory'!$B$2:$B$71,MATCH(A11,'Inventory'!$A$2:$A$71,0)),"")</x:f>
        <x:v>Additive 024</x:v>
      </x:c>
      <x:c r="C11" s="76" t="n">
        <x:f>IFERROR(INDEX('Inventory'!$E$2:$E$71,MATCH(A11,'Inventory'!$A$2:$A$71,0)),0)</x:f>
        <x:v>542</x:v>
      </x:c>
      <x:c r="D11" s="76" t="n">
        <x:f>IFERROR(INDEX('Inventory'!$F$2:$F$71,MATCH(A11,'Inventory'!$A$2:$A$71,0)),0)</x:f>
        <x:v>1356</x:v>
      </x:c>
      <x:c r="E11" s="76" t="n">
        <x:f>SUMIFS('Open_POs'!$D$2:$D$26,'Open_POs'!$B$2:$B$26,A11)</x:f>
        <x:v>0</x:v>
      </x:c>
      <x:c r="F11" s="76" t="n">
        <x:f>SUMIFS('Material_Requirements'!$I$2:$I$626,'Material_Requirements'!$E$2:$E$626,A11)</x:f>
        <x:v>40080.200000000004</x:v>
      </x:c>
      <x:c r="G11" s="76" t="n">
        <x:f>C11+E11-F11</x:f>
        <x:v>-39538.200000000004</x:v>
      </x:c>
      <x:c r="H11" s="76" t="n">
        <x:f>COUNTIFS('Material_Requirements'!$E$2:$E$626,A11,'Material_Requirements'!$P$2:$P$626,"SHORT")</x:f>
        <x:v>13</x:v>
      </x:c>
      <x:c r="I11" s="75" t="n">
        <x:f>IF(H11=0,"",SUMIFS('Material_Requirements'!$Q$2:$Q$626,'Material_Requirements'!$E$2:$E$626,A11))</x:f>
        <x:v>46258</x:v>
      </x:c>
      <x:c r="J11" s="76" t="n">
        <x:f>IF(F11=0,C11+E11,AGGREGATE(15,6,'Material_Requirements'!$O$2:$O$626/('Material_Requirements'!$E$2:$E$626=A11),1))</x:f>
        <x:v>-39538.200000000004</x:v>
      </x:c>
      <x:c r="K11" s="71" t="str">
        <x:f>IF(H11&gt;0,"SHORT",IF(COUNTIFS('Material_Requirements'!$E$2:$E$626,A11,'Material_Requirements'!$P$2:$P$626,"BELOW TARGET")&gt;0,"BELOW TARGET","COVERED"))</x:f>
        <x:v>SHORT</x:v>
      </x:c>
    </x:row>
    <x:row r="12" ht="15" customHeight="1">
      <x:c r="A12" s="71" t="str">
        <x:v>RM-005</x:v>
      </x:c>
      <x:c r="B12" s="71" t="str">
        <x:f>IFERROR(INDEX('Inventory'!$B$2:$B$71,MATCH(A12,'Inventory'!$A$2:$A$71,0)),"")</x:f>
        <x:v>Packaging 005</x:v>
      </x:c>
      <x:c r="C12" s="76" t="n">
        <x:f>IFERROR(INDEX('Inventory'!$E$2:$E$71,MATCH(A12,'Inventory'!$A$2:$A$71,0)),0)</x:f>
        <x:v>8699</x:v>
      </x:c>
      <x:c r="D12" s="76" t="n">
        <x:f>IFERROR(INDEX('Inventory'!$F$2:$F$71,MATCH(A12,'Inventory'!$A$2:$A$71,0)),0)</x:f>
        <x:v>1174</x:v>
      </x:c>
      <x:c r="E12" s="76" t="n">
        <x:f>SUMIFS('Open_POs'!$D$2:$D$26,'Open_POs'!$B$2:$B$26,A12)</x:f>
        <x:v>0</x:v>
      </x:c>
      <x:c r="F12" s="76" t="n">
        <x:f>SUMIFS('Material_Requirements'!$I$2:$I$626,'Material_Requirements'!$E$2:$E$626,A12)</x:f>
        <x:v>46027.09999999999</x:v>
      </x:c>
      <x:c r="G12" s="76" t="n">
        <x:f>C12+E12-F12</x:f>
        <x:v>-37328.09999999999</x:v>
      </x:c>
      <x:c r="H12" s="76" t="n">
        <x:f>COUNTIFS('Material_Requirements'!$E$2:$E$626,A12,'Material_Requirements'!$P$2:$P$626,"SHORT")</x:f>
        <x:v>18</x:v>
      </x:c>
      <x:c r="I12" s="75" t="n">
        <x:f>IF(H12=0,"",SUMIFS('Material_Requirements'!$Q$2:$Q$626,'Material_Requirements'!$E$2:$E$626,A12))</x:f>
        <x:v>46263</x:v>
      </x:c>
      <x:c r="J12" s="76" t="n">
        <x:f>IF(F12=0,C12+E12,AGGREGATE(15,6,'Material_Requirements'!$O$2:$O$626/('Material_Requirements'!$E$2:$E$626=A12),1))</x:f>
        <x:v>-37328.09999999999</x:v>
      </x:c>
      <x:c r="K12" s="71" t="str">
        <x:f>IF(H12&gt;0,"SHORT",IF(COUNTIFS('Material_Requirements'!$E$2:$E$626,A12,'Material_Requirements'!$P$2:$P$626,"BELOW TARGET")&gt;0,"BELOW TARGET","COVERED"))</x:f>
        <x:v>SHORT</x:v>
      </x:c>
    </x:row>
    <x:row r="13" ht="15" customHeight="1">
      <x:c r="A13" s="71" t="str">
        <x:v>RM-008</x:v>
      </x:c>
      <x:c r="B13" s="71" t="str">
        <x:f>IFERROR(INDEX('Inventory'!$B$2:$B$71,MATCH(A13,'Inventory'!$A$2:$A$71,0)),"")</x:f>
        <x:v>Filler 008</x:v>
      </x:c>
      <x:c r="C13" s="76" t="n">
        <x:f>IFERROR(INDEX('Inventory'!$E$2:$E$71,MATCH(A13,'Inventory'!$A$2:$A$71,0)),0)</x:f>
        <x:v>430</x:v>
      </x:c>
      <x:c r="D13" s="76" t="n">
        <x:f>IFERROR(INDEX('Inventory'!$F$2:$F$71,MATCH(A13,'Inventory'!$A$2:$A$71,0)),0)</x:f>
        <x:v>1037</x:v>
      </x:c>
      <x:c r="E13" s="76" t="n">
        <x:f>SUMIFS('Open_POs'!$D$2:$D$26,'Open_POs'!$B$2:$B$26,A13)</x:f>
        <x:v>0</x:v>
      </x:c>
      <x:c r="F13" s="76" t="n">
        <x:f>SUMIFS('Material_Requirements'!$I$2:$I$626,'Material_Requirements'!$E$2:$E$626,A13)</x:f>
        <x:v>37463.1</x:v>
      </x:c>
      <x:c r="G13" s="76" t="n">
        <x:f>C13+E13-F13</x:f>
        <x:v>-37033.1</x:v>
      </x:c>
      <x:c r="H13" s="76" t="n">
        <x:f>COUNTIFS('Material_Requirements'!$E$2:$E$626,A13,'Material_Requirements'!$P$2:$P$626,"SHORT")</x:f>
        <x:v>16</x:v>
      </x:c>
      <x:c r="I13" s="75" t="n">
        <x:f>IF(H13=0,"",SUMIFS('Material_Requirements'!$Q$2:$Q$626,'Material_Requirements'!$E$2:$E$626,A13))</x:f>
        <x:v>46255</x:v>
      </x:c>
      <x:c r="J13" s="76" t="n">
        <x:f>IF(F13=0,C13+E13,AGGREGATE(15,6,'Material_Requirements'!$O$2:$O$626/('Material_Requirements'!$E$2:$E$626=A13),1))</x:f>
        <x:v>-37033.1</x:v>
      </x:c>
      <x:c r="K13" s="71" t="str">
        <x:f>IF(H13&gt;0,"SHORT",IF(COUNTIFS('Material_Requirements'!$E$2:$E$626,A13,'Material_Requirements'!$P$2:$P$626,"BELOW TARGET")&gt;0,"BELOW TARGET","COVERED"))</x:f>
        <x:v>SHORT</x:v>
      </x:c>
    </x:row>
    <x:row r="14" ht="15" customHeight="1">
      <x:c r="A14" s="71" t="str">
        <x:v>RM-025</x:v>
      </x:c>
      <x:c r="B14" s="71" t="str">
        <x:f>IFERROR(INDEX('Inventory'!$B$2:$B$71,MATCH(A14,'Inventory'!$A$2:$A$71,0)),"")</x:f>
        <x:v>Packaging 025</x:v>
      </x:c>
      <x:c r="C14" s="76" t="n">
        <x:f>IFERROR(INDEX('Inventory'!$E$2:$E$71,MATCH(A14,'Inventory'!$A$2:$A$71,0)),0)</x:f>
        <x:v>2469</x:v>
      </x:c>
      <x:c r="D14" s="76" t="n">
        <x:f>IFERROR(INDEX('Inventory'!$F$2:$F$71,MATCH(A14,'Inventory'!$A$2:$A$71,0)),0)</x:f>
        <x:v>229</x:v>
      </x:c>
      <x:c r="E14" s="76" t="n">
        <x:f>SUMIFS('Open_POs'!$D$2:$D$26,'Open_POs'!$B$2:$B$26,A14)</x:f>
        <x:v>10000</x:v>
      </x:c>
      <x:c r="F14" s="76" t="n">
        <x:f>SUMIFS('Material_Requirements'!$I$2:$I$626,'Material_Requirements'!$E$2:$E$626,A14)</x:f>
        <x:v>49384.39999999999</x:v>
      </x:c>
      <x:c r="G14" s="76" t="n">
        <x:f>C14+E14-F14</x:f>
        <x:v>-36915.39999999999</x:v>
      </x:c>
      <x:c r="H14" s="76" t="n">
        <x:f>COUNTIFS('Material_Requirements'!$E$2:$E$626,A14,'Material_Requirements'!$P$2:$P$626,"SHORT")</x:f>
        <x:v>23</x:v>
      </x:c>
      <x:c r="I14" s="75" t="n">
        <x:f>IF(H14=0,"",SUMIFS('Material_Requirements'!$Q$2:$Q$626,'Material_Requirements'!$E$2:$E$626,A14))</x:f>
        <x:v>46258</x:v>
      </x:c>
      <x:c r="J14" s="76" t="n">
        <x:f>IF(F14=0,C14+E14,AGGREGATE(15,6,'Material_Requirements'!$O$2:$O$626/('Material_Requirements'!$E$2:$E$626=A14),1))</x:f>
        <x:v>-36915.39999999999</x:v>
      </x:c>
      <x:c r="K14" s="71" t="str">
        <x:f>IF(H14&gt;0,"SHORT",IF(COUNTIFS('Material_Requirements'!$E$2:$E$626,A14,'Material_Requirements'!$P$2:$P$626,"BELOW TARGET")&gt;0,"BELOW TARGET","COVERED"))</x:f>
        <x:v>SHORT</x:v>
      </x:c>
    </x:row>
    <x:row r="15" ht="15" customHeight="1">
      <x:c r="A15" s="71" t="str">
        <x:v>RM-048</x:v>
      </x:c>
      <x:c r="B15" s="71" t="str">
        <x:f>IFERROR(INDEX('Inventory'!$B$2:$B$71,MATCH(A15,'Inventory'!$A$2:$A$71,0)),"")</x:f>
        <x:v>Filler 048</x:v>
      </x:c>
      <x:c r="C15" s="76" t="n">
        <x:f>IFERROR(INDEX('Inventory'!$E$2:$E$71,MATCH(A15,'Inventory'!$A$2:$A$71,0)),0)</x:f>
        <x:v>637</x:v>
      </x:c>
      <x:c r="D15" s="76" t="n">
        <x:f>IFERROR(INDEX('Inventory'!$F$2:$F$71,MATCH(A15,'Inventory'!$A$2:$A$71,0)),0)</x:f>
        <x:v>888</x:v>
      </x:c>
      <x:c r="E15" s="76" t="n">
        <x:f>SUMIFS('Open_POs'!$D$2:$D$26,'Open_POs'!$B$2:$B$26,A15)</x:f>
        <x:v>1000</x:v>
      </x:c>
      <x:c r="F15" s="76" t="n">
        <x:f>SUMIFS('Material_Requirements'!$I$2:$I$626,'Material_Requirements'!$E$2:$E$626,A15)</x:f>
        <x:v>31651.199999999997</x:v>
      </x:c>
      <x:c r="G15" s="76" t="n">
        <x:f>C15+E15-F15</x:f>
        <x:v>-30014.199999999997</x:v>
      </x:c>
      <x:c r="H15" s="76" t="n">
        <x:f>COUNTIFS('Material_Requirements'!$E$2:$E$626,A15,'Material_Requirements'!$P$2:$P$626,"SHORT")</x:f>
        <x:v>14</x:v>
      </x:c>
      <x:c r="I15" s="75" t="n">
        <x:f>IF(H15=0,"",SUMIFS('Material_Requirements'!$Q$2:$Q$626,'Material_Requirements'!$E$2:$E$626,A15))</x:f>
        <x:v>46258</x:v>
      </x:c>
      <x:c r="J15" s="76" t="n">
        <x:f>IF(F15=0,C15+E15,AGGREGATE(15,6,'Material_Requirements'!$O$2:$O$626/('Material_Requirements'!$E$2:$E$626=A15),1))</x:f>
        <x:v>-30014.199999999997</x:v>
      </x:c>
      <x:c r="K15" s="71" t="str">
        <x:f>IF(H15&gt;0,"SHORT",IF(COUNTIFS('Material_Requirements'!$E$2:$E$626,A15,'Material_Requirements'!$P$2:$P$626,"BELOW TARGET")&gt;0,"BELOW TARGET","COVERED"))</x:f>
        <x:v>SHORT</x:v>
      </x:c>
    </x:row>
    <x:row r="16" ht="15" customHeight="1">
      <x:c r="A16" s="71" t="str">
        <x:v>RM-053</x:v>
      </x:c>
      <x:c r="B16" s="71" t="str">
        <x:f>IFERROR(INDEX('Inventory'!$B$2:$B$71,MATCH(A16,'Inventory'!$A$2:$A$71,0)),"")</x:f>
        <x:v>Filler 053</x:v>
      </x:c>
      <x:c r="C16" s="76" t="n">
        <x:f>IFERROR(INDEX('Inventory'!$E$2:$E$71,MATCH(A16,'Inventory'!$A$2:$A$71,0)),0)</x:f>
        <x:v>3714</x:v>
      </x:c>
      <x:c r="D16" s="76" t="n">
        <x:f>IFERROR(INDEX('Inventory'!$F$2:$F$71,MATCH(A16,'Inventory'!$A$2:$A$71,0)),0)</x:f>
        <x:v>773</x:v>
      </x:c>
      <x:c r="E16" s="76" t="n">
        <x:f>SUMIFS('Open_POs'!$D$2:$D$26,'Open_POs'!$B$2:$B$26,A16)</x:f>
        <x:v>0</x:v>
      </x:c>
      <x:c r="F16" s="76" t="n">
        <x:f>SUMIFS('Material_Requirements'!$I$2:$I$626,'Material_Requirements'!$E$2:$E$626,A16)</x:f>
        <x:v>33633.200000000004</x:v>
      </x:c>
      <x:c r="G16" s="76" t="n">
        <x:f>C16+E16-F16</x:f>
        <x:v>-29919.200000000004</x:v>
      </x:c>
      <x:c r="H16" s="76" t="n">
        <x:f>COUNTIFS('Material_Requirements'!$E$2:$E$626,A16,'Material_Requirements'!$P$2:$P$626,"SHORT")</x:f>
        <x:v>11</x:v>
      </x:c>
      <x:c r="I16" s="75" t="n">
        <x:f>IF(H16=0,"",SUMIFS('Material_Requirements'!$Q$2:$Q$626,'Material_Requirements'!$E$2:$E$626,A16))</x:f>
        <x:v>46258</x:v>
      </x:c>
      <x:c r="J16" s="76" t="n">
        <x:f>IF(F16=0,C16+E16,AGGREGATE(15,6,'Material_Requirements'!$O$2:$O$626/('Material_Requirements'!$E$2:$E$626=A16),1))</x:f>
        <x:v>-29919.200000000004</x:v>
      </x:c>
      <x:c r="K16" s="71" t="str">
        <x:f>IF(H16&gt;0,"SHORT",IF(COUNTIFS('Material_Requirements'!$E$2:$E$626,A16,'Material_Requirements'!$P$2:$P$626,"BELOW TARGET")&gt;0,"BELOW TARGET","COVERED"))</x:f>
        <x:v>SHORT</x:v>
      </x:c>
    </x:row>
    <x:row r="17" ht="15" customHeight="1">
      <x:c r="A17" s="71" t="str">
        <x:v>RM-044</x:v>
      </x:c>
      <x:c r="B17" s="71" t="str">
        <x:f>IFERROR(INDEX('Inventory'!$B$2:$B$71,MATCH(A17,'Inventory'!$A$2:$A$71,0)),"")</x:f>
        <x:v>Additive 044</x:v>
      </x:c>
      <x:c r="C17" s="76" t="n">
        <x:f>IFERROR(INDEX('Inventory'!$E$2:$E$71,MATCH(A17,'Inventory'!$A$2:$A$71,0)),0)</x:f>
        <x:v>10361</x:v>
      </x:c>
      <x:c r="D17" s="76" t="n">
        <x:f>IFERROR(INDEX('Inventory'!$F$2:$F$71,MATCH(A17,'Inventory'!$A$2:$A$71,0)),0)</x:f>
        <x:v>571</x:v>
      </x:c>
      <x:c r="E17" s="76" t="n">
        <x:f>SUMIFS('Open_POs'!$D$2:$D$26,'Open_POs'!$B$2:$B$26,A17)</x:f>
        <x:v>0</x:v>
      </x:c>
      <x:c r="F17" s="76" t="n">
        <x:f>SUMIFS('Material_Requirements'!$I$2:$I$626,'Material_Requirements'!$E$2:$E$626,A17)</x:f>
        <x:v>39790.6</x:v>
      </x:c>
      <x:c r="G17" s="76" t="n">
        <x:f>C17+E17-F17</x:f>
        <x:v>-29429.6</x:v>
      </x:c>
      <x:c r="H17" s="76" t="n">
        <x:f>COUNTIFS('Material_Requirements'!$E$2:$E$626,A17,'Material_Requirements'!$P$2:$P$626,"SHORT")</x:f>
        <x:v>10</x:v>
      </x:c>
      <x:c r="I17" s="75" t="n">
        <x:f>IF(H17=0,"",SUMIFS('Material_Requirements'!$Q$2:$Q$626,'Material_Requirements'!$E$2:$E$626,A17))</x:f>
        <x:v>46270</x:v>
      </x:c>
      <x:c r="J17" s="76" t="n">
        <x:f>IF(F17=0,C17+E17,AGGREGATE(15,6,'Material_Requirements'!$O$2:$O$626/('Material_Requirements'!$E$2:$E$626=A17),1))</x:f>
        <x:v>-29429.6</x:v>
      </x:c>
      <x:c r="K17" s="71" t="str">
        <x:f>IF(H17&gt;0,"SHORT",IF(COUNTIFS('Material_Requirements'!$E$2:$E$626,A17,'Material_Requirements'!$P$2:$P$626,"BELOW TARGET")&gt;0,"BELOW TARGET","COVERED"))</x:f>
        <x:v>SHORT</x:v>
      </x:c>
    </x:row>
    <x:row r="18" ht="15" customHeight="1">
      <x:c r="A18" s="71" t="str">
        <x:v>RM-042</x:v>
      </x:c>
      <x:c r="B18" s="71" t="str">
        <x:f>IFERROR(INDEX('Inventory'!$B$2:$B$71,MATCH(A18,'Inventory'!$A$2:$A$71,0)),"")</x:f>
        <x:v>Pigment 042</x:v>
      </x:c>
      <x:c r="C18" s="76" t="n">
        <x:f>IFERROR(INDEX('Inventory'!$E$2:$E$71,MATCH(A18,'Inventory'!$A$2:$A$71,0)),0)</x:f>
        <x:v>14280</x:v>
      </x:c>
      <x:c r="D18" s="76" t="n">
        <x:f>IFERROR(INDEX('Inventory'!$F$2:$F$71,MATCH(A18,'Inventory'!$A$2:$A$71,0)),0)</x:f>
        <x:v>553</x:v>
      </x:c>
      <x:c r="E18" s="76" t="n">
        <x:f>SUMIFS('Open_POs'!$D$2:$D$26,'Open_POs'!$B$2:$B$26,A18)</x:f>
        <x:v>0</x:v>
      </x:c>
      <x:c r="F18" s="76" t="n">
        <x:f>SUMIFS('Material_Requirements'!$I$2:$I$626,'Material_Requirements'!$E$2:$E$626,A18)</x:f>
        <x:v>40122</x:v>
      </x:c>
      <x:c r="G18" s="76" t="n">
        <x:f>C18+E18-F18</x:f>
        <x:v>-25842</x:v>
      </x:c>
      <x:c r="H18" s="76" t="n">
        <x:f>COUNTIFS('Material_Requirements'!$E$2:$E$626,A18,'Material_Requirements'!$P$2:$P$626,"SHORT")</x:f>
        <x:v>3</x:v>
      </x:c>
      <x:c r="I18" s="75" t="n">
        <x:f>IF(H18=0,"",SUMIFS('Material_Requirements'!$Q$2:$Q$626,'Material_Requirements'!$E$2:$E$626,A18))</x:f>
        <x:v>46268</x:v>
      </x:c>
      <x:c r="J18" s="76" t="n">
        <x:f>IF(F18=0,C18+E18,AGGREGATE(15,6,'Material_Requirements'!$O$2:$O$626/('Material_Requirements'!$E$2:$E$626=A18),1))</x:f>
        <x:v>-25842</x:v>
      </x:c>
      <x:c r="K18" s="71" t="str">
        <x:f>IF(H18&gt;0,"SHORT",IF(COUNTIFS('Material_Requirements'!$E$2:$E$626,A18,'Material_Requirements'!$P$2:$P$626,"BELOW TARGET")&gt;0,"BELOW TARGET","COVERED"))</x:f>
        <x:v>SHORT</x:v>
      </x:c>
    </x:row>
    <x:row r="19" ht="15" customHeight="1">
      <x:c r="A19" s="71" t="str">
        <x:v>RM-007</x:v>
      </x:c>
      <x:c r="B19" s="71" t="str">
        <x:f>IFERROR(INDEX('Inventory'!$B$2:$B$71,MATCH(A19,'Inventory'!$A$2:$A$71,0)),"")</x:f>
        <x:v>Pigment 007</x:v>
      </x:c>
      <x:c r="C19" s="76" t="n">
        <x:f>IFERROR(INDEX('Inventory'!$E$2:$E$71,MATCH(A19,'Inventory'!$A$2:$A$71,0)),0)</x:f>
        <x:v>9115</x:v>
      </x:c>
      <x:c r="D19" s="76" t="n">
        <x:f>IFERROR(INDEX('Inventory'!$F$2:$F$71,MATCH(A19,'Inventory'!$A$2:$A$71,0)),0)</x:f>
        <x:v>230</x:v>
      </x:c>
      <x:c r="E19" s="76" t="n">
        <x:f>SUMIFS('Open_POs'!$D$2:$D$26,'Open_POs'!$B$2:$B$26,A19)</x:f>
        <x:v>2500</x:v>
      </x:c>
      <x:c r="F19" s="76" t="n">
        <x:f>SUMIFS('Material_Requirements'!$I$2:$I$626,'Material_Requirements'!$E$2:$E$626,A19)</x:f>
        <x:v>36834.2</x:v>
      </x:c>
      <x:c r="G19" s="76" t="n">
        <x:f>C19+E19-F19</x:f>
        <x:v>-25219.199999999997</x:v>
      </x:c>
      <x:c r="H19" s="76" t="n">
        <x:f>COUNTIFS('Material_Requirements'!$E$2:$E$626,A19,'Material_Requirements'!$P$2:$P$626,"SHORT")</x:f>
        <x:v>9</x:v>
      </x:c>
      <x:c r="I19" s="75" t="n">
        <x:f>IF(H19=0,"",SUMIFS('Material_Requirements'!$Q$2:$Q$626,'Material_Requirements'!$E$2:$E$626,A19))</x:f>
        <x:v>46275</x:v>
      </x:c>
      <x:c r="J19" s="76" t="n">
        <x:f>IF(F19=0,C19+E19,AGGREGATE(15,6,'Material_Requirements'!$O$2:$O$626/('Material_Requirements'!$E$2:$E$626=A19),1))</x:f>
        <x:v>-25219.199999999997</x:v>
      </x:c>
      <x:c r="K19" s="71" t="str">
        <x:f>IF(H19&gt;0,"SHORT",IF(COUNTIFS('Material_Requirements'!$E$2:$E$626,A19,'Material_Requirements'!$P$2:$P$626,"BELOW TARGET")&gt;0,"BELOW TARGET","COVERED"))</x:f>
        <x:v>SHORT</x:v>
      </x:c>
    </x:row>
    <x:row r="20" ht="15" customHeight="1">
      <x:c r="A20" s="71" t="str">
        <x:v>RM-038</x:v>
      </x:c>
      <x:c r="B20" s="71" t="str">
        <x:f>IFERROR(INDEX('Inventory'!$B$2:$B$71,MATCH(A20,'Inventory'!$A$2:$A$71,0)),"")</x:f>
        <x:v>Filler 038</x:v>
      </x:c>
      <x:c r="C20" s="76" t="n">
        <x:f>IFERROR(INDEX('Inventory'!$E$2:$E$71,MATCH(A20,'Inventory'!$A$2:$A$71,0)),0)</x:f>
        <x:v>10042</x:v>
      </x:c>
      <x:c r="D20" s="76" t="n">
        <x:f>IFERROR(INDEX('Inventory'!$F$2:$F$71,MATCH(A20,'Inventory'!$A$2:$A$71,0)),0)</x:f>
        <x:v>1452</x:v>
      </x:c>
      <x:c r="E20" s="76" t="n">
        <x:f>SUMIFS('Open_POs'!$D$2:$D$26,'Open_POs'!$B$2:$B$26,A20)</x:f>
        <x:v>10000</x:v>
      </x:c>
      <x:c r="F20" s="76" t="n">
        <x:f>SUMIFS('Material_Requirements'!$I$2:$I$626,'Material_Requirements'!$E$2:$E$626,A20)</x:f>
        <x:v>44490.6</x:v>
      </x:c>
      <x:c r="G20" s="76" t="n">
        <x:f>C20+E20-F20</x:f>
        <x:v>-24448.6</x:v>
      </x:c>
      <x:c r="H20" s="76" t="n">
        <x:f>COUNTIFS('Material_Requirements'!$E$2:$E$626,A20,'Material_Requirements'!$P$2:$P$626,"SHORT")</x:f>
        <x:v>11</x:v>
      </x:c>
      <x:c r="I20" s="75" t="n">
        <x:f>IF(H20=0,"",SUMIFS('Material_Requirements'!$Q$2:$Q$626,'Material_Requirements'!$E$2:$E$626,A20))</x:f>
        <x:v>46267</x:v>
      </x:c>
      <x:c r="J20" s="76" t="n">
        <x:f>IF(F20=0,C20+E20,AGGREGATE(15,6,'Material_Requirements'!$O$2:$O$626/('Material_Requirements'!$E$2:$E$626=A20),1))</x:f>
        <x:v>-24448.6</x:v>
      </x:c>
      <x:c r="K20" s="71" t="str">
        <x:f>IF(H20&gt;0,"SHORT",IF(COUNTIFS('Material_Requirements'!$E$2:$E$626,A20,'Material_Requirements'!$P$2:$P$626,"BELOW TARGET")&gt;0,"BELOW TARGET","COVERED"))</x:f>
        <x:v>SHORT</x:v>
      </x:c>
    </x:row>
    <x:row r="21" ht="15" customHeight="1">
      <x:c r="A21" s="71" t="str">
        <x:v>RM-011</x:v>
      </x:c>
      <x:c r="B21" s="71" t="str">
        <x:f>IFERROR(INDEX('Inventory'!$B$2:$B$71,MATCH(A21,'Inventory'!$A$2:$A$71,0)),"")</x:f>
        <x:v>Resin 011</x:v>
      </x:c>
      <x:c r="C21" s="76" t="n">
        <x:f>IFERROR(INDEX('Inventory'!$E$2:$E$71,MATCH(A21,'Inventory'!$A$2:$A$71,0)),0)</x:f>
        <x:v>16410</x:v>
      </x:c>
      <x:c r="D21" s="76" t="n">
        <x:f>IFERROR(INDEX('Inventory'!$F$2:$F$71,MATCH(A21,'Inventory'!$A$2:$A$71,0)),0)</x:f>
        <x:v>1275</x:v>
      </x:c>
      <x:c r="E21" s="76" t="n">
        <x:f>SUMIFS('Open_POs'!$D$2:$D$26,'Open_POs'!$B$2:$B$26,A21)</x:f>
        <x:v>0</x:v>
      </x:c>
      <x:c r="F21" s="76" t="n">
        <x:f>SUMIFS('Material_Requirements'!$I$2:$I$626,'Material_Requirements'!$E$2:$E$626,A21)</x:f>
        <x:v>40844.7</x:v>
      </x:c>
      <x:c r="G21" s="76" t="n">
        <x:f>C21+E21-F21</x:f>
        <x:v>-24434.699999999997</x:v>
      </x:c>
      <x:c r="H21" s="76" t="n">
        <x:f>COUNTIFS('Material_Requirements'!$E$2:$E$626,A21,'Material_Requirements'!$P$2:$P$626,"SHORT")</x:f>
        <x:v>9</x:v>
      </x:c>
      <x:c r="I21" s="75" t="n">
        <x:f>IF(H21=0,"",SUMIFS('Material_Requirements'!$Q$2:$Q$626,'Material_Requirements'!$E$2:$E$626,A21))</x:f>
        <x:v>46275</x:v>
      </x:c>
      <x:c r="J21" s="76" t="n">
        <x:f>IF(F21=0,C21+E21,AGGREGATE(15,6,'Material_Requirements'!$O$2:$O$626/('Material_Requirements'!$E$2:$E$626=A21),1))</x:f>
        <x:v>-24434.699999999997</x:v>
      </x:c>
      <x:c r="K21" s="71" t="str">
        <x:f>IF(H21&gt;0,"SHORT",IF(COUNTIFS('Material_Requirements'!$E$2:$E$626,A21,'Material_Requirements'!$P$2:$P$626,"BELOW TARGET")&gt;0,"BELOW TARGET","COVERED"))</x:f>
        <x:v>SHORT</x:v>
      </x:c>
    </x:row>
    <x:row r="22" ht="15" customHeight="1">
      <x:c r="A22" s="71" t="str">
        <x:v>RM-041</x:v>
      </x:c>
      <x:c r="B22" s="71" t="str">
        <x:f>IFERROR(INDEX('Inventory'!$B$2:$B$71,MATCH(A22,'Inventory'!$A$2:$A$71,0)),"")</x:f>
        <x:v>Resin 041</x:v>
      </x:c>
      <x:c r="C22" s="76" t="n">
        <x:f>IFERROR(INDEX('Inventory'!$E$2:$E$71,MATCH(A22,'Inventory'!$A$2:$A$71,0)),0)</x:f>
        <x:v>4635</x:v>
      </x:c>
      <x:c r="D22" s="76" t="n">
        <x:f>IFERROR(INDEX('Inventory'!$F$2:$F$71,MATCH(A22,'Inventory'!$A$2:$A$71,0)),0)</x:f>
        <x:v>987</x:v>
      </x:c>
      <x:c r="E22" s="76" t="n">
        <x:f>SUMIFS('Open_POs'!$D$2:$D$26,'Open_POs'!$B$2:$B$26,A22)</x:f>
        <x:v>0</x:v>
      </x:c>
      <x:c r="F22" s="76" t="n">
        <x:f>SUMIFS('Material_Requirements'!$I$2:$I$626,'Material_Requirements'!$E$2:$E$626,A22)</x:f>
        <x:v>28851</x:v>
      </x:c>
      <x:c r="G22" s="76" t="n">
        <x:f>C22+E22-F22</x:f>
        <x:v>-24216</x:v>
      </x:c>
      <x:c r="H22" s="76" t="n">
        <x:f>COUNTIFS('Material_Requirements'!$E$2:$E$626,A22,'Material_Requirements'!$P$2:$P$626,"SHORT")</x:f>
        <x:v>16</x:v>
      </x:c>
      <x:c r="I22" s="75" t="n">
        <x:f>IF(H22=0,"",SUMIFS('Material_Requirements'!$Q$2:$Q$626,'Material_Requirements'!$E$2:$E$626,A22))</x:f>
        <x:v>46272</x:v>
      </x:c>
      <x:c r="J22" s="76" t="n">
        <x:f>IF(F22=0,C22+E22,AGGREGATE(15,6,'Material_Requirements'!$O$2:$O$626/('Material_Requirements'!$E$2:$E$626=A22),1))</x:f>
        <x:v>-24216</x:v>
      </x:c>
      <x:c r="K22" s="71" t="str">
        <x:f>IF(H22&gt;0,"SHORT",IF(COUNTIFS('Material_Requirements'!$E$2:$E$626,A22,'Material_Requirements'!$P$2:$P$626,"BELOW TARGET")&gt;0,"BELOW TARGET","COVERED"))</x:f>
        <x:v>SHORT</x:v>
      </x:c>
    </x:row>
    <x:row r="23" ht="15" customHeight="1">
      <x:c r="A23" s="71" t="str">
        <x:v>RM-027</x:v>
      </x:c>
      <x:c r="B23" s="71" t="str">
        <x:f>IFERROR(INDEX('Inventory'!$B$2:$B$71,MATCH(A23,'Inventory'!$A$2:$A$71,0)),"")</x:f>
        <x:v>Pigment 027</x:v>
      </x:c>
      <x:c r="C23" s="76" t="n">
        <x:f>IFERROR(INDEX('Inventory'!$E$2:$E$71,MATCH(A23,'Inventory'!$A$2:$A$71,0)),0)</x:f>
        <x:v>5600</x:v>
      </x:c>
      <x:c r="D23" s="76" t="n">
        <x:f>IFERROR(INDEX('Inventory'!$F$2:$F$71,MATCH(A23,'Inventory'!$A$2:$A$71,0)),0)</x:f>
        <x:v>267</x:v>
      </x:c>
      <x:c r="E23" s="76" t="n">
        <x:f>SUMIFS('Open_POs'!$D$2:$D$26,'Open_POs'!$B$2:$B$26,A23)</x:f>
        <x:v>0</x:v>
      </x:c>
      <x:c r="F23" s="76" t="n">
        <x:f>SUMIFS('Material_Requirements'!$I$2:$I$626,'Material_Requirements'!$E$2:$E$626,A23)</x:f>
        <x:v>28131.199999999997</x:v>
      </x:c>
      <x:c r="G23" s="76" t="n">
        <x:f>C23+E23-F23</x:f>
        <x:v>-22531.199999999997</x:v>
      </x:c>
      <x:c r="H23" s="76" t="n">
        <x:f>COUNTIFS('Material_Requirements'!$E$2:$E$626,A23,'Material_Requirements'!$P$2:$P$626,"SHORT")</x:f>
        <x:v>8</x:v>
      </x:c>
      <x:c r="I23" s="75" t="n">
        <x:f>IF(H23=0,"",SUMIFS('Material_Requirements'!$Q$2:$Q$626,'Material_Requirements'!$E$2:$E$626,A23))</x:f>
        <x:v>46267</x:v>
      </x:c>
      <x:c r="J23" s="76" t="n">
        <x:f>IF(F23=0,C23+E23,AGGREGATE(15,6,'Material_Requirements'!$O$2:$O$626/('Material_Requirements'!$E$2:$E$626=A23),1))</x:f>
        <x:v>-22531.199999999997</x:v>
      </x:c>
      <x:c r="K23" s="71" t="str">
        <x:f>IF(H23&gt;0,"SHORT",IF(COUNTIFS('Material_Requirements'!$E$2:$E$626,A23,'Material_Requirements'!$P$2:$P$626,"BELOW TARGET")&gt;0,"BELOW TARGET","COVERED"))</x:f>
        <x:v>SHORT</x:v>
      </x:c>
    </x:row>
    <x:row r="24" ht="15" customHeight="1">
      <x:c r="A24" s="71" t="str">
        <x:v>RM-021</x:v>
      </x:c>
      <x:c r="B24" s="71" t="str">
        <x:f>IFERROR(INDEX('Inventory'!$B$2:$B$71,MATCH(A24,'Inventory'!$A$2:$A$71,0)),"")</x:f>
        <x:v>Resin 021</x:v>
      </x:c>
      <x:c r="C24" s="76" t="n">
        <x:f>IFERROR(INDEX('Inventory'!$E$2:$E$71,MATCH(A24,'Inventory'!$A$2:$A$71,0)),0)</x:f>
        <x:v>8041</x:v>
      </x:c>
      <x:c r="D24" s="76" t="n">
        <x:f>IFERROR(INDEX('Inventory'!$F$2:$F$71,MATCH(A24,'Inventory'!$A$2:$A$71,0)),0)</x:f>
        <x:v>264</x:v>
      </x:c>
      <x:c r="E24" s="76" t="n">
        <x:f>SUMIFS('Open_POs'!$D$2:$D$26,'Open_POs'!$B$2:$B$26,A24)</x:f>
        <x:v>0</x:v>
      </x:c>
      <x:c r="F24" s="76" t="n">
        <x:f>SUMIFS('Material_Requirements'!$I$2:$I$626,'Material_Requirements'!$E$2:$E$626,A24)</x:f>
        <x:v>29534.6</x:v>
      </x:c>
      <x:c r="G24" s="76" t="n">
        <x:f>C24+E24-F24</x:f>
        <x:v>-21493.6</x:v>
      </x:c>
      <x:c r="H24" s="76" t="n">
        <x:f>COUNTIFS('Material_Requirements'!$E$2:$E$626,A24,'Material_Requirements'!$P$2:$P$626,"SHORT")</x:f>
        <x:v>6</x:v>
      </x:c>
      <x:c r="I24" s="75" t="n">
        <x:f>IF(H24=0,"",SUMIFS('Material_Requirements'!$Q$2:$Q$626,'Material_Requirements'!$E$2:$E$626,A24))</x:f>
        <x:v>46280</x:v>
      </x:c>
      <x:c r="J24" s="76" t="n">
        <x:f>IF(F24=0,C24+E24,AGGREGATE(15,6,'Material_Requirements'!$O$2:$O$626/('Material_Requirements'!$E$2:$E$626=A24),1))</x:f>
        <x:v>-21493.6</x:v>
      </x:c>
      <x:c r="K24" s="71" t="str">
        <x:f>IF(H24&gt;0,"SHORT",IF(COUNTIFS('Material_Requirements'!$E$2:$E$626,A24,'Material_Requirements'!$P$2:$P$626,"BELOW TARGET")&gt;0,"BELOW TARGET","COVERED"))</x:f>
        <x:v>SHORT</x:v>
      </x:c>
    </x:row>
    <x:row r="25" ht="15" customHeight="1">
      <x:c r="A25" s="71" t="str">
        <x:v>RM-023</x:v>
      </x:c>
      <x:c r="B25" s="71" t="str">
        <x:f>IFERROR(INDEX('Inventory'!$B$2:$B$71,MATCH(A25,'Inventory'!$A$2:$A$71,0)),"")</x:f>
        <x:v>Filler 023</x:v>
      </x:c>
      <x:c r="C25" s="76" t="n">
        <x:f>IFERROR(INDEX('Inventory'!$E$2:$E$71,MATCH(A25,'Inventory'!$A$2:$A$71,0)),0)</x:f>
        <x:v>3401</x:v>
      </x:c>
      <x:c r="D25" s="76" t="n">
        <x:f>IFERROR(INDEX('Inventory'!$F$2:$F$71,MATCH(A25,'Inventory'!$A$2:$A$71,0)),0)</x:f>
        <x:v>418</x:v>
      </x:c>
      <x:c r="E25" s="76" t="n">
        <x:f>SUMIFS('Open_POs'!$D$2:$D$26,'Open_POs'!$B$2:$B$26,A25)</x:f>
        <x:v>0</x:v>
      </x:c>
      <x:c r="F25" s="76" t="n">
        <x:f>SUMIFS('Material_Requirements'!$I$2:$I$626,'Material_Requirements'!$E$2:$E$626,A25)</x:f>
        <x:v>24850.3</x:v>
      </x:c>
      <x:c r="G25" s="76" t="n">
        <x:f>C25+E25-F25</x:f>
        <x:v>-21449.3</x:v>
      </x:c>
      <x:c r="H25" s="76" t="n">
        <x:f>COUNTIFS('Material_Requirements'!$E$2:$E$626,A25,'Material_Requirements'!$P$2:$P$626,"SHORT")</x:f>
        <x:v>11</x:v>
      </x:c>
      <x:c r="I25" s="75" t="n">
        <x:f>IF(H25=0,"",SUMIFS('Material_Requirements'!$Q$2:$Q$626,'Material_Requirements'!$E$2:$E$626,A25))</x:f>
        <x:v>46258</x:v>
      </x:c>
      <x:c r="J25" s="76" t="n">
        <x:f>IF(F25=0,C25+E25,AGGREGATE(15,6,'Material_Requirements'!$O$2:$O$626/('Material_Requirements'!$E$2:$E$626=A25),1))</x:f>
        <x:v>-21449.3</x:v>
      </x:c>
      <x:c r="K25" s="71" t="str">
        <x:f>IF(H25&gt;0,"SHORT",IF(COUNTIFS('Material_Requirements'!$E$2:$E$626,A25,'Material_Requirements'!$P$2:$P$626,"BELOW TARGET")&gt;0,"BELOW TARGET","COVERED"))</x:f>
        <x:v>SHORT</x:v>
      </x:c>
    </x:row>
    <x:row r="26" ht="15" customHeight="1">
      <x:c r="A26" s="71" t="str">
        <x:v>RM-026</x:v>
      </x:c>
      <x:c r="B26" s="71" t="str">
        <x:f>IFERROR(INDEX('Inventory'!$B$2:$B$71,MATCH(A26,'Inventory'!$A$2:$A$71,0)),"")</x:f>
        <x:v>Resin 026</x:v>
      </x:c>
      <x:c r="C26" s="76" t="n">
        <x:f>IFERROR(INDEX('Inventory'!$E$2:$E$71,MATCH(A26,'Inventory'!$A$2:$A$71,0)),0)</x:f>
        <x:v>1771</x:v>
      </x:c>
      <x:c r="D26" s="76" t="n">
        <x:f>IFERROR(INDEX('Inventory'!$F$2:$F$71,MATCH(A26,'Inventory'!$A$2:$A$71,0)),0)</x:f>
        <x:v>1475</x:v>
      </x:c>
      <x:c r="E26" s="76" t="n">
        <x:f>SUMIFS('Open_POs'!$D$2:$D$26,'Open_POs'!$B$2:$B$26,A26)</x:f>
        <x:v>0</x:v>
      </x:c>
      <x:c r="F26" s="76" t="n">
        <x:f>SUMIFS('Material_Requirements'!$I$2:$I$626,'Material_Requirements'!$E$2:$E$626,A26)</x:f>
        <x:v>22902.4</x:v>
      </x:c>
      <x:c r="G26" s="76" t="n">
        <x:f>C26+E26-F26</x:f>
        <x:v>-21131.4</x:v>
      </x:c>
      <x:c r="H26" s="76" t="n">
        <x:f>COUNTIFS('Material_Requirements'!$E$2:$E$626,A26,'Material_Requirements'!$P$2:$P$626,"SHORT")</x:f>
        <x:v>6</x:v>
      </x:c>
      <x:c r="I26" s="75" t="n">
        <x:f>IF(H26=0,"",SUMIFS('Material_Requirements'!$Q$2:$Q$626,'Material_Requirements'!$E$2:$E$626,A26))</x:f>
        <x:v>46261</x:v>
      </x:c>
      <x:c r="J26" s="76" t="n">
        <x:f>IF(F26=0,C26+E26,AGGREGATE(15,6,'Material_Requirements'!$O$2:$O$626/('Material_Requirements'!$E$2:$E$626=A26),1))</x:f>
        <x:v>-21131.4</x:v>
      </x:c>
      <x:c r="K26" s="71" t="str">
        <x:f>IF(H26&gt;0,"SHORT",IF(COUNTIFS('Material_Requirements'!$E$2:$E$626,A26,'Material_Requirements'!$P$2:$P$626,"BELOW TARGET")&gt;0,"BELOW TARGET","COVERED"))</x:f>
        <x:v>SHORT</x:v>
      </x:c>
    </x:row>
    <x:row r="27" ht="15" customHeight="1">
      <x:c r="A27" s="71" t="str">
        <x:v>RM-016</x:v>
      </x:c>
      <x:c r="B27" s="71" t="str">
        <x:f>IFERROR(INDEX('Inventory'!$B$2:$B$71,MATCH(A27,'Inventory'!$A$2:$A$71,0)),"")</x:f>
        <x:v>Resin 016</x:v>
      </x:c>
      <x:c r="C27" s="76" t="n">
        <x:f>IFERROR(INDEX('Inventory'!$E$2:$E$71,MATCH(A27,'Inventory'!$A$2:$A$71,0)),0)</x:f>
        <x:v>116</x:v>
      </x:c>
      <x:c r="D27" s="76" t="n">
        <x:f>IFERROR(INDEX('Inventory'!$F$2:$F$71,MATCH(A27,'Inventory'!$A$2:$A$71,0)),0)</x:f>
        <x:v>888</x:v>
      </x:c>
      <x:c r="E27" s="76" t="n">
        <x:f>SUMIFS('Open_POs'!$D$2:$D$26,'Open_POs'!$B$2:$B$26,A27)</x:f>
        <x:v>0</x:v>
      </x:c>
      <x:c r="F27" s="76" t="n">
        <x:f>SUMIFS('Material_Requirements'!$I$2:$I$626,'Material_Requirements'!$E$2:$E$626,A27)</x:f>
        <x:v>21192.9</x:v>
      </x:c>
      <x:c r="G27" s="76" t="n">
        <x:f>C27+E27-F27</x:f>
        <x:v>-21076.9</x:v>
      </x:c>
      <x:c r="H27" s="76" t="n">
        <x:f>COUNTIFS('Material_Requirements'!$E$2:$E$626,A27,'Material_Requirements'!$P$2:$P$626,"SHORT")</x:f>
        <x:v>11</x:v>
      </x:c>
      <x:c r="I27" s="75" t="n">
        <x:f>IF(H27=0,"",SUMIFS('Material_Requirements'!$Q$2:$Q$626,'Material_Requirements'!$E$2:$E$626,A27))</x:f>
        <x:v>46262</x:v>
      </x:c>
      <x:c r="J27" s="76" t="n">
        <x:f>IF(F27=0,C27+E27,AGGREGATE(15,6,'Material_Requirements'!$O$2:$O$626/('Material_Requirements'!$E$2:$E$626=A27),1))</x:f>
        <x:v>-21076.9</x:v>
      </x:c>
      <x:c r="K27" s="71" t="str">
        <x:f>IF(H27&gt;0,"SHORT",IF(COUNTIFS('Material_Requirements'!$E$2:$E$626,A27,'Material_Requirements'!$P$2:$P$626,"BELOW TARGET")&gt;0,"BELOW TARGET","COVERED"))</x:f>
        <x:v>SHORT</x:v>
      </x:c>
    </x:row>
    <x:row r="28" ht="15" customHeight="1">
      <x:c r="A28" s="71" t="str">
        <x:v>RM-052</x:v>
      </x:c>
      <x:c r="B28" s="71" t="str">
        <x:f>IFERROR(INDEX('Inventory'!$B$2:$B$71,MATCH(A28,'Inventory'!$A$2:$A$71,0)),"")</x:f>
        <x:v>Pigment 052</x:v>
      </x:c>
      <x:c r="C28" s="76" t="n">
        <x:f>IFERROR(INDEX('Inventory'!$E$2:$E$71,MATCH(A28,'Inventory'!$A$2:$A$71,0)),0)</x:f>
        <x:v>6374</x:v>
      </x:c>
      <x:c r="D28" s="76" t="n">
        <x:f>IFERROR(INDEX('Inventory'!$F$2:$F$71,MATCH(A28,'Inventory'!$A$2:$A$71,0)),0)</x:f>
        <x:v>949</x:v>
      </x:c>
      <x:c r="E28" s="76" t="n">
        <x:f>SUMIFS('Open_POs'!$D$2:$D$26,'Open_POs'!$B$2:$B$26,A28)</x:f>
        <x:v>1000</x:v>
      </x:c>
      <x:c r="F28" s="76" t="n">
        <x:f>SUMIFS('Material_Requirements'!$I$2:$I$626,'Material_Requirements'!$E$2:$E$626,A28)</x:f>
        <x:v>27504.999999999996</x:v>
      </x:c>
      <x:c r="G28" s="76" t="n">
        <x:f>C28+E28-F28</x:f>
        <x:v>-20130.999999999996</x:v>
      </x:c>
      <x:c r="H28" s="76" t="n">
        <x:f>COUNTIFS('Material_Requirements'!$E$2:$E$626,A28,'Material_Requirements'!$P$2:$P$626,"SHORT")</x:f>
        <x:v>9</x:v>
      </x:c>
      <x:c r="I28" s="75" t="n">
        <x:f>IF(H28=0,"",SUMIFS('Material_Requirements'!$Q$2:$Q$626,'Material_Requirements'!$E$2:$E$626,A28))</x:f>
        <x:v>46261</x:v>
      </x:c>
      <x:c r="J28" s="76" t="n">
        <x:f>IF(F28=0,C28+E28,AGGREGATE(15,6,'Material_Requirements'!$O$2:$O$626/('Material_Requirements'!$E$2:$E$626=A28),1))</x:f>
        <x:v>-20130.999999999996</x:v>
      </x:c>
      <x:c r="K28" s="71" t="str">
        <x:f>IF(H28&gt;0,"SHORT",IF(COUNTIFS('Material_Requirements'!$E$2:$E$626,A28,'Material_Requirements'!$P$2:$P$626,"BELOW TARGET")&gt;0,"BELOW TARGET","COVERED"))</x:f>
        <x:v>SHORT</x:v>
      </x:c>
    </x:row>
    <x:row r="29" ht="15" customHeight="1">
      <x:c r="A29" s="71" t="str">
        <x:v>RM-014</x:v>
      </x:c>
      <x:c r="B29" s="71" t="str">
        <x:f>IFERROR(INDEX('Inventory'!$B$2:$B$71,MATCH(A29,'Inventory'!$A$2:$A$71,0)),"")</x:f>
        <x:v>Additive 014</x:v>
      </x:c>
      <x:c r="C29" s="76" t="n">
        <x:f>IFERROR(INDEX('Inventory'!$E$2:$E$71,MATCH(A29,'Inventory'!$A$2:$A$71,0)),0)</x:f>
        <x:v>2788</x:v>
      </x:c>
      <x:c r="D29" s="76" t="n">
        <x:f>IFERROR(INDEX('Inventory'!$F$2:$F$71,MATCH(A29,'Inventory'!$A$2:$A$71,0)),0)</x:f>
        <x:v>1133</x:v>
      </x:c>
      <x:c r="E29" s="76" t="n">
        <x:f>SUMIFS('Open_POs'!$D$2:$D$26,'Open_POs'!$B$2:$B$26,A29)</x:f>
        <x:v>0</x:v>
      </x:c>
      <x:c r="F29" s="76" t="n">
        <x:f>SUMIFS('Material_Requirements'!$I$2:$I$626,'Material_Requirements'!$E$2:$E$626,A29)</x:f>
        <x:v>22078.8</x:v>
      </x:c>
      <x:c r="G29" s="76" t="n">
        <x:f>C29+E29-F29</x:f>
        <x:v>-19290.8</x:v>
      </x:c>
      <x:c r="H29" s="76" t="n">
        <x:f>COUNTIFS('Material_Requirements'!$E$2:$E$626,A29,'Material_Requirements'!$P$2:$P$626,"SHORT")</x:f>
        <x:v>6</x:v>
      </x:c>
      <x:c r="I29" s="75" t="n">
        <x:f>IF(H29=0,"",SUMIFS('Material_Requirements'!$Q$2:$Q$626,'Material_Requirements'!$E$2:$E$626,A29))</x:f>
        <x:v>46258</x:v>
      </x:c>
      <x:c r="J29" s="76" t="n">
        <x:f>IF(F29=0,C29+E29,AGGREGATE(15,6,'Material_Requirements'!$O$2:$O$626/('Material_Requirements'!$E$2:$E$626=A29),1))</x:f>
        <x:v>-19290.8</x:v>
      </x:c>
      <x:c r="K29" s="71" t="str">
        <x:f>IF(H29&gt;0,"SHORT",IF(COUNTIFS('Material_Requirements'!$E$2:$E$626,A29,'Material_Requirements'!$P$2:$P$626,"BELOW TARGET")&gt;0,"BELOW TARGET","COVERED"))</x:f>
        <x:v>SHORT</x:v>
      </x:c>
    </x:row>
    <x:row r="30" ht="15" customHeight="1">
      <x:c r="A30" s="71" t="str">
        <x:v>RM-056</x:v>
      </x:c>
      <x:c r="B30" s="71" t="str">
        <x:f>IFERROR(INDEX('Inventory'!$B$2:$B$71,MATCH(A30,'Inventory'!$A$2:$A$71,0)),"")</x:f>
        <x:v>Resin 056</x:v>
      </x:c>
      <x:c r="C30" s="76" t="n">
        <x:f>IFERROR(INDEX('Inventory'!$E$2:$E$71,MATCH(A30,'Inventory'!$A$2:$A$71,0)),0)</x:f>
        <x:v>862</x:v>
      </x:c>
      <x:c r="D30" s="76" t="n">
        <x:f>IFERROR(INDEX('Inventory'!$F$2:$F$71,MATCH(A30,'Inventory'!$A$2:$A$71,0)),0)</x:f>
        <x:v>108</x:v>
      </x:c>
      <x:c r="E30" s="76" t="n">
        <x:f>SUMIFS('Open_POs'!$D$2:$D$26,'Open_POs'!$B$2:$B$26,A30)</x:f>
        <x:v>0</x:v>
      </x:c>
      <x:c r="F30" s="76" t="n">
        <x:f>SUMIFS('Material_Requirements'!$I$2:$I$626,'Material_Requirements'!$E$2:$E$626,A30)</x:f>
        <x:v>18985.199999999997</x:v>
      </x:c>
      <x:c r="G30" s="76" t="n">
        <x:f>C30+E30-F30</x:f>
        <x:v>-18123.199999999997</x:v>
      </x:c>
      <x:c r="H30" s="76" t="n">
        <x:f>COUNTIFS('Material_Requirements'!$E$2:$E$626,A30,'Material_Requirements'!$P$2:$P$626,"SHORT")</x:f>
        <x:v>7</x:v>
      </x:c>
      <x:c r="I30" s="75" t="n">
        <x:f>IF(H30=0,"",SUMIFS('Material_Requirements'!$Q$2:$Q$626,'Material_Requirements'!$E$2:$E$626,A30))</x:f>
        <x:v>46269</x:v>
      </x:c>
      <x:c r="J30" s="76" t="n">
        <x:f>IF(F30=0,C30+E30,AGGREGATE(15,6,'Material_Requirements'!$O$2:$O$626/('Material_Requirements'!$E$2:$E$626=A30),1))</x:f>
        <x:v>-18123.199999999997</x:v>
      </x:c>
      <x:c r="K30" s="71" t="str">
        <x:f>IF(H30&gt;0,"SHORT",IF(COUNTIFS('Material_Requirements'!$E$2:$E$626,A30,'Material_Requirements'!$P$2:$P$626,"BELOW TARGET")&gt;0,"BELOW TARGET","COVERED"))</x:f>
        <x:v>SHORT</x:v>
      </x:c>
    </x:row>
    <x:row r="31" ht="15" customHeight="1">
      <x:c r="A31" s="71" t="str">
        <x:v>RM-031</x:v>
      </x:c>
      <x:c r="B31" s="71" t="str">
        <x:f>IFERROR(INDEX('Inventory'!$B$2:$B$71,MATCH(A31,'Inventory'!$A$2:$A$71,0)),"")</x:f>
        <x:v>Resin 031</x:v>
      </x:c>
      <x:c r="C31" s="76" t="n">
        <x:f>IFERROR(INDEX('Inventory'!$E$2:$E$71,MATCH(A31,'Inventory'!$A$2:$A$71,0)),0)</x:f>
        <x:v>6087</x:v>
      </x:c>
      <x:c r="D31" s="76" t="n">
        <x:f>IFERROR(INDEX('Inventory'!$F$2:$F$71,MATCH(A31,'Inventory'!$A$2:$A$71,0)),0)</x:f>
        <x:v>714</x:v>
      </x:c>
      <x:c r="E31" s="76" t="n">
        <x:f>SUMIFS('Open_POs'!$D$2:$D$26,'Open_POs'!$B$2:$B$26,A31)</x:f>
        <x:v>0</x:v>
      </x:c>
      <x:c r="F31" s="76" t="n">
        <x:f>SUMIFS('Material_Requirements'!$I$2:$I$626,'Material_Requirements'!$E$2:$E$626,A31)</x:f>
        <x:v>23698.3</x:v>
      </x:c>
      <x:c r="G31" s="76" t="n">
        <x:f>C31+E31-F31</x:f>
        <x:v>-17611.3</x:v>
      </x:c>
      <x:c r="H31" s="76" t="n">
        <x:f>COUNTIFS('Material_Requirements'!$E$2:$E$626,A31,'Material_Requirements'!$P$2:$P$626,"SHORT")</x:f>
        <x:v>11</x:v>
      </x:c>
      <x:c r="I31" s="75" t="n">
        <x:f>IF(H31=0,"",SUMIFS('Material_Requirements'!$Q$2:$Q$626,'Material_Requirements'!$E$2:$E$626,A31))</x:f>
        <x:v>46263</x:v>
      </x:c>
      <x:c r="J31" s="76" t="n">
        <x:f>IF(F31=0,C31+E31,AGGREGATE(15,6,'Material_Requirements'!$O$2:$O$626/('Material_Requirements'!$E$2:$E$626=A31),1))</x:f>
        <x:v>-17611.3</x:v>
      </x:c>
      <x:c r="K31" s="71" t="str">
        <x:f>IF(H31&gt;0,"SHORT",IF(COUNTIFS('Material_Requirements'!$E$2:$E$626,A31,'Material_Requirements'!$P$2:$P$626,"BELOW TARGET")&gt;0,"BELOW TARGET","COVERED"))</x:f>
        <x:v>SHORT</x:v>
      </x:c>
    </x:row>
    <x:row r="32" ht="15" customHeight="1">
      <x:c r="A32" s="71" t="str">
        <x:v>RM-001</x:v>
      </x:c>
      <x:c r="B32" s="71" t="str">
        <x:f>IFERROR(INDEX('Inventory'!$B$2:$B$71,MATCH(A32,'Inventory'!$A$2:$A$71,0)),"")</x:f>
        <x:v>Resin 001</x:v>
      </x:c>
      <x:c r="C32" s="76" t="n">
        <x:f>IFERROR(INDEX('Inventory'!$E$2:$E$71,MATCH(A32,'Inventory'!$A$2:$A$71,0)),0)</x:f>
        <x:v>9214</x:v>
      </x:c>
      <x:c r="D32" s="76" t="n">
        <x:f>IFERROR(INDEX('Inventory'!$F$2:$F$71,MATCH(A32,'Inventory'!$A$2:$A$71,0)),0)</x:f>
        <x:v>713</x:v>
      </x:c>
      <x:c r="E32" s="76" t="n">
        <x:f>SUMIFS('Open_POs'!$D$2:$D$26,'Open_POs'!$B$2:$B$26,A32)</x:f>
        <x:v>0</x:v>
      </x:c>
      <x:c r="F32" s="76" t="n">
        <x:f>SUMIFS('Material_Requirements'!$I$2:$I$626,'Material_Requirements'!$E$2:$E$626,A32)</x:f>
        <x:v>25441.800000000003</x:v>
      </x:c>
      <x:c r="G32" s="76" t="n">
        <x:f>C32+E32-F32</x:f>
        <x:v>-16227.800000000003</x:v>
      </x:c>
      <x:c r="H32" s="76" t="n">
        <x:f>COUNTIFS('Material_Requirements'!$E$2:$E$626,A32,'Material_Requirements'!$P$2:$P$626,"SHORT")</x:f>
        <x:v>5</x:v>
      </x:c>
      <x:c r="I32" s="75" t="n">
        <x:f>IF(H32=0,"",SUMIFS('Material_Requirements'!$Q$2:$Q$626,'Material_Requirements'!$E$2:$E$626,A32))</x:f>
        <x:v>46270</x:v>
      </x:c>
      <x:c r="J32" s="76" t="n">
        <x:f>IF(F32=0,C32+E32,AGGREGATE(15,6,'Material_Requirements'!$O$2:$O$626/('Material_Requirements'!$E$2:$E$626=A32),1))</x:f>
        <x:v>-16227.800000000003</x:v>
      </x:c>
      <x:c r="K32" s="71" t="str">
        <x:f>IF(H32&gt;0,"SHORT",IF(COUNTIFS('Material_Requirements'!$E$2:$E$626,A32,'Material_Requirements'!$P$2:$P$626,"BELOW TARGET")&gt;0,"BELOW TARGET","COVERED"))</x:f>
        <x:v>SHORT</x:v>
      </x:c>
    </x:row>
    <x:row r="33" ht="15" customHeight="1">
      <x:c r="A33" s="71" t="str">
        <x:v>RM-020</x:v>
      </x:c>
      <x:c r="B33" s="71" t="str">
        <x:f>IFERROR(INDEX('Inventory'!$B$2:$B$71,MATCH(A33,'Inventory'!$A$2:$A$71,0)),"")</x:f>
        <x:v>Packaging 020</x:v>
      </x:c>
      <x:c r="C33" s="76" t="n">
        <x:f>IFERROR(INDEX('Inventory'!$E$2:$E$71,MATCH(A33,'Inventory'!$A$2:$A$71,0)),0)</x:f>
        <x:v>10528</x:v>
      </x:c>
      <x:c r="D33" s="76" t="n">
        <x:f>IFERROR(INDEX('Inventory'!$F$2:$F$71,MATCH(A33,'Inventory'!$A$2:$A$71,0)),0)</x:f>
        <x:v>881</x:v>
      </x:c>
      <x:c r="E33" s="76" t="n">
        <x:f>SUMIFS('Open_POs'!$D$2:$D$26,'Open_POs'!$B$2:$B$26,A33)</x:f>
        <x:v>2500</x:v>
      </x:c>
      <x:c r="F33" s="76" t="n">
        <x:f>SUMIFS('Material_Requirements'!$I$2:$I$626,'Material_Requirements'!$E$2:$E$626,A33)</x:f>
        <x:v>28681.000000000004</x:v>
      </x:c>
      <x:c r="G33" s="76" t="n">
        <x:f>C33+E33-F33</x:f>
        <x:v>-15653.000000000004</x:v>
      </x:c>
      <x:c r="H33" s="76" t="n">
        <x:f>COUNTIFS('Material_Requirements'!$E$2:$E$626,A33,'Material_Requirements'!$P$2:$P$626,"SHORT")</x:f>
        <x:v>7</x:v>
      </x:c>
      <x:c r="I33" s="75" t="n">
        <x:f>IF(H33=0,"",SUMIFS('Material_Requirements'!$Q$2:$Q$626,'Material_Requirements'!$E$2:$E$626,A33))</x:f>
        <x:v>46270</x:v>
      </x:c>
      <x:c r="J33" s="76" t="n">
        <x:f>IF(F33=0,C33+E33,AGGREGATE(15,6,'Material_Requirements'!$O$2:$O$626/('Material_Requirements'!$E$2:$E$626=A33),1))</x:f>
        <x:v>-15653.000000000004</x:v>
      </x:c>
      <x:c r="K33" s="71" t="str">
        <x:f>IF(H33&gt;0,"SHORT",IF(COUNTIFS('Material_Requirements'!$E$2:$E$626,A33,'Material_Requirements'!$P$2:$P$626,"BELOW TARGET")&gt;0,"BELOW TARGET","COVERED"))</x:f>
        <x:v>SHORT</x:v>
      </x:c>
    </x:row>
    <x:row r="34" ht="15" customHeight="1">
      <x:c r="A34" s="71" t="str">
        <x:v>RM-037</x:v>
      </x:c>
      <x:c r="B34" s="71" t="str">
        <x:f>IFERROR(INDEX('Inventory'!$B$2:$B$71,MATCH(A34,'Inventory'!$A$2:$A$71,0)),"")</x:f>
        <x:v>Pigment 037</x:v>
      </x:c>
      <x:c r="C34" s="76" t="n">
        <x:f>IFERROR(INDEX('Inventory'!$E$2:$E$71,MATCH(A34,'Inventory'!$A$2:$A$71,0)),0)</x:f>
        <x:v>14210</x:v>
      </x:c>
      <x:c r="D34" s="76" t="n">
        <x:f>IFERROR(INDEX('Inventory'!$F$2:$F$71,MATCH(A34,'Inventory'!$A$2:$A$71,0)),0)</x:f>
        <x:v>850</x:v>
      </x:c>
      <x:c r="E34" s="76" t="n">
        <x:f>SUMIFS('Open_POs'!$D$2:$D$26,'Open_POs'!$B$2:$B$26,A34)</x:f>
        <x:v>2500</x:v>
      </x:c>
      <x:c r="F34" s="76" t="n">
        <x:f>SUMIFS('Material_Requirements'!$I$2:$I$626,'Material_Requirements'!$E$2:$E$626,A34)</x:f>
        <x:v>31490.599999999995</x:v>
      </x:c>
      <x:c r="G34" s="76" t="n">
        <x:f>C34+E34-F34</x:f>
        <x:v>-14780.599999999995</x:v>
      </x:c>
      <x:c r="H34" s="76" t="n">
        <x:f>COUNTIFS('Material_Requirements'!$E$2:$E$626,A34,'Material_Requirements'!$P$2:$P$626,"SHORT")</x:f>
        <x:v>5</x:v>
      </x:c>
      <x:c r="I34" s="75" t="n">
        <x:f>IF(H34=0,"",SUMIFS('Material_Requirements'!$Q$2:$Q$626,'Material_Requirements'!$E$2:$E$626,A34))</x:f>
        <x:v>46285</x:v>
      </x:c>
      <x:c r="J34" s="76" t="n">
        <x:f>IF(F34=0,C34+E34,AGGREGATE(15,6,'Material_Requirements'!$O$2:$O$626/('Material_Requirements'!$E$2:$E$626=A34),1))</x:f>
        <x:v>-14780.599999999995</x:v>
      </x:c>
      <x:c r="K34" s="71" t="str">
        <x:f>IF(H34&gt;0,"SHORT",IF(COUNTIFS('Material_Requirements'!$E$2:$E$626,A34,'Material_Requirements'!$P$2:$P$626,"BELOW TARGET")&gt;0,"BELOW TARGET","COVERED"))</x:f>
        <x:v>SHORT</x:v>
      </x:c>
    </x:row>
    <x:row r="35" ht="15" customHeight="1">
      <x:c r="A35" s="71" t="str">
        <x:v>RM-033</x:v>
      </x:c>
      <x:c r="B35" s="71" t="str">
        <x:f>IFERROR(INDEX('Inventory'!$B$2:$B$71,MATCH(A35,'Inventory'!$A$2:$A$71,0)),"")</x:f>
        <x:v>Filler 033</x:v>
      </x:c>
      <x:c r="C35" s="76" t="n">
        <x:f>IFERROR(INDEX('Inventory'!$E$2:$E$71,MATCH(A35,'Inventory'!$A$2:$A$71,0)),0)</x:f>
        <x:v>4157</x:v>
      </x:c>
      <x:c r="D35" s="76" t="n">
        <x:f>IFERROR(INDEX('Inventory'!$F$2:$F$71,MATCH(A35,'Inventory'!$A$2:$A$71,0)),0)</x:f>
        <x:v>1030</x:v>
      </x:c>
      <x:c r="E35" s="76" t="n">
        <x:f>SUMIFS('Open_POs'!$D$2:$D$26,'Open_POs'!$B$2:$B$26,A35)</x:f>
        <x:v>5000</x:v>
      </x:c>
      <x:c r="F35" s="76" t="n">
        <x:f>SUMIFS('Material_Requirements'!$I$2:$I$626,'Material_Requirements'!$E$2:$E$626,A35)</x:f>
        <x:v>23896</x:v>
      </x:c>
      <x:c r="G35" s="76" t="n">
        <x:f>C35+E35-F35</x:f>
        <x:v>-14739</x:v>
      </x:c>
      <x:c r="H35" s="76" t="n">
        <x:f>COUNTIFS('Material_Requirements'!$E$2:$E$626,A35,'Material_Requirements'!$P$2:$P$626,"SHORT")</x:f>
        <x:v>8</x:v>
      </x:c>
      <x:c r="I35" s="75" t="n">
        <x:f>IF(H35=0,"",SUMIFS('Material_Requirements'!$Q$2:$Q$626,'Material_Requirements'!$E$2:$E$626,A35))</x:f>
        <x:v>46268</x:v>
      </x:c>
      <x:c r="J35" s="76" t="n">
        <x:f>IF(F35=0,C35+E35,AGGREGATE(15,6,'Material_Requirements'!$O$2:$O$626/('Material_Requirements'!$E$2:$E$626=A35),1))</x:f>
        <x:v>-14739</x:v>
      </x:c>
      <x:c r="K35" s="71" t="str">
        <x:f>IF(H35&gt;0,"SHORT",IF(COUNTIFS('Material_Requirements'!$E$2:$E$626,A35,'Material_Requirements'!$P$2:$P$626,"BELOW TARGET")&gt;0,"BELOW TARGET","COVERED"))</x:f>
        <x:v>SHORT</x:v>
      </x:c>
    </x:row>
    <x:row r="36" ht="15" customHeight="1">
      <x:c r="A36" s="71" t="str">
        <x:v>RM-050</x:v>
      </x:c>
      <x:c r="B36" s="71" t="str">
        <x:f>IFERROR(INDEX('Inventory'!$B$2:$B$71,MATCH(A36,'Inventory'!$A$2:$A$71,0)),"")</x:f>
        <x:v>Packaging 050</x:v>
      </x:c>
      <x:c r="C36" s="76" t="n">
        <x:f>IFERROR(INDEX('Inventory'!$E$2:$E$71,MATCH(A36,'Inventory'!$A$2:$A$71,0)),0)</x:f>
        <x:v>5370</x:v>
      </x:c>
      <x:c r="D36" s="76" t="n">
        <x:f>IFERROR(INDEX('Inventory'!$F$2:$F$71,MATCH(A36,'Inventory'!$A$2:$A$71,0)),0)</x:f>
        <x:v>1210</x:v>
      </x:c>
      <x:c r="E36" s="76" t="n">
        <x:f>SUMIFS('Open_POs'!$D$2:$D$26,'Open_POs'!$B$2:$B$26,A36)</x:f>
        <x:v>2500</x:v>
      </x:c>
      <x:c r="F36" s="76" t="n">
        <x:f>SUMIFS('Material_Requirements'!$I$2:$I$626,'Material_Requirements'!$E$2:$E$626,A36)</x:f>
        <x:v>22448.699999999997</x:v>
      </x:c>
      <x:c r="G36" s="76" t="n">
        <x:f>C36+E36-F36</x:f>
        <x:v>-14578.699999999997</x:v>
      </x:c>
      <x:c r="H36" s="76" t="n">
        <x:f>COUNTIFS('Material_Requirements'!$E$2:$E$626,A36,'Material_Requirements'!$P$2:$P$626,"SHORT")</x:f>
        <x:v>4</x:v>
      </x:c>
      <x:c r="I36" s="75" t="n">
        <x:f>IF(H36=0,"",SUMIFS('Material_Requirements'!$Q$2:$Q$626,'Material_Requirements'!$E$2:$E$626,A36))</x:f>
        <x:v>46275</x:v>
      </x:c>
      <x:c r="J36" s="76" t="n">
        <x:f>IF(F36=0,C36+E36,AGGREGATE(15,6,'Material_Requirements'!$O$2:$O$626/('Material_Requirements'!$E$2:$E$626=A36),1))</x:f>
        <x:v>-14578.699999999997</x:v>
      </x:c>
      <x:c r="K36" s="71" t="str">
        <x:f>IF(H36&gt;0,"SHORT",IF(COUNTIFS('Material_Requirements'!$E$2:$E$626,A36,'Material_Requirements'!$P$2:$P$626,"BELOW TARGET")&gt;0,"BELOW TARGET","COVERED"))</x:f>
        <x:v>SHORT</x:v>
      </x:c>
    </x:row>
    <x:row r="37" ht="15" customHeight="1">
      <x:c r="A37" s="71" t="str">
        <x:v>RM-006</x:v>
      </x:c>
      <x:c r="B37" s="71" t="str">
        <x:f>IFERROR(INDEX('Inventory'!$B$2:$B$71,MATCH(A37,'Inventory'!$A$2:$A$71,0)),"")</x:f>
        <x:v>Resin 006</x:v>
      </x:c>
      <x:c r="C37" s="76" t="n">
        <x:f>IFERROR(INDEX('Inventory'!$E$2:$E$71,MATCH(A37,'Inventory'!$A$2:$A$71,0)),0)</x:f>
        <x:v>1295</x:v>
      </x:c>
      <x:c r="D37" s="76" t="n">
        <x:f>IFERROR(INDEX('Inventory'!$F$2:$F$71,MATCH(A37,'Inventory'!$A$2:$A$71,0)),0)</x:f>
        <x:v>599</x:v>
      </x:c>
      <x:c r="E37" s="76" t="n">
        <x:f>SUMIFS('Open_POs'!$D$2:$D$26,'Open_POs'!$B$2:$B$26,A37)</x:f>
        <x:v>0</x:v>
      </x:c>
      <x:c r="F37" s="76" t="n">
        <x:f>SUMIFS('Material_Requirements'!$I$2:$I$626,'Material_Requirements'!$E$2:$E$626,A37)</x:f>
        <x:v>13515.4</x:v>
      </x:c>
      <x:c r="G37" s="76" t="n">
        <x:f>C37+E37-F37</x:f>
        <x:v>-12220.4</x:v>
      </x:c>
      <x:c r="H37" s="76" t="n">
        <x:f>COUNTIFS('Material_Requirements'!$E$2:$E$626,A37,'Material_Requirements'!$P$2:$P$626,"SHORT")</x:f>
        <x:v>5</x:v>
      </x:c>
      <x:c r="I37" s="75" t="n">
        <x:f>IF(H37=0,"",SUMIFS('Material_Requirements'!$Q$2:$Q$626,'Material_Requirements'!$E$2:$E$626,A37))</x:f>
        <x:v>46275</x:v>
      </x:c>
      <x:c r="J37" s="76" t="n">
        <x:f>IF(F37=0,C37+E37,AGGREGATE(15,6,'Material_Requirements'!$O$2:$O$626/('Material_Requirements'!$E$2:$E$626=A37),1))</x:f>
        <x:v>-12220.4</x:v>
      </x:c>
      <x:c r="K37" s="71" t="str">
        <x:f>IF(H37&gt;0,"SHORT",IF(COUNTIFS('Material_Requirements'!$E$2:$E$626,A37,'Material_Requirements'!$P$2:$P$626,"BELOW TARGET")&gt;0,"BELOW TARGET","COVERED"))</x:f>
        <x:v>SHORT</x:v>
      </x:c>
    </x:row>
    <x:row r="38" ht="15" customHeight="1">
      <x:c r="A38" s="71" t="str">
        <x:v>RM-030</x:v>
      </x:c>
      <x:c r="B38" s="71" t="str">
        <x:f>IFERROR(INDEX('Inventory'!$B$2:$B$71,MATCH(A38,'Inventory'!$A$2:$A$71,0)),"")</x:f>
        <x:v>Packaging 030</x:v>
      </x:c>
      <x:c r="C38" s="76" t="n">
        <x:f>IFERROR(INDEX('Inventory'!$E$2:$E$71,MATCH(A38,'Inventory'!$A$2:$A$71,0)),0)</x:f>
        <x:v>9755</x:v>
      </x:c>
      <x:c r="D38" s="76" t="n">
        <x:f>IFERROR(INDEX('Inventory'!$F$2:$F$71,MATCH(A38,'Inventory'!$A$2:$A$71,0)),0)</x:f>
        <x:v>696</x:v>
      </x:c>
      <x:c r="E38" s="76" t="n">
        <x:f>SUMIFS('Open_POs'!$D$2:$D$26,'Open_POs'!$B$2:$B$26,A38)</x:f>
        <x:v>2500</x:v>
      </x:c>
      <x:c r="F38" s="76" t="n">
        <x:f>SUMIFS('Material_Requirements'!$I$2:$I$626,'Material_Requirements'!$E$2:$E$626,A38)</x:f>
        <x:v>23601.8</x:v>
      </x:c>
      <x:c r="G38" s="76" t="n">
        <x:f>C38+E38-F38</x:f>
        <x:v>-11346.8</x:v>
      </x:c>
      <x:c r="H38" s="76" t="n">
        <x:f>COUNTIFS('Material_Requirements'!$E$2:$E$626,A38,'Material_Requirements'!$P$2:$P$626,"SHORT")</x:f>
        <x:v>3</x:v>
      </x:c>
      <x:c r="I38" s="75" t="n">
        <x:f>IF(H38=0,"",SUMIFS('Material_Requirements'!$Q$2:$Q$626,'Material_Requirements'!$E$2:$E$626,A38))</x:f>
        <x:v>46283</x:v>
      </x:c>
      <x:c r="J38" s="76" t="n">
        <x:f>IF(F38=0,C38+E38,AGGREGATE(15,6,'Material_Requirements'!$O$2:$O$626/('Material_Requirements'!$E$2:$E$626=A38),1))</x:f>
        <x:v>-11346.8</x:v>
      </x:c>
      <x:c r="K38" s="71" t="str">
        <x:f>IF(H38&gt;0,"SHORT",IF(COUNTIFS('Material_Requirements'!$E$2:$E$626,A38,'Material_Requirements'!$P$2:$P$626,"BELOW TARGET")&gt;0,"BELOW TARGET","COVERED"))</x:f>
        <x:v>SHORT</x:v>
      </x:c>
    </x:row>
    <x:row r="39" ht="15" customHeight="1">
      <x:c r="A39" s="71" t="str">
        <x:v>RM-067</x:v>
      </x:c>
      <x:c r="B39" s="71" t="str">
        <x:f>IFERROR(INDEX('Inventory'!$B$2:$B$71,MATCH(A39,'Inventory'!$A$2:$A$71,0)),"")</x:f>
        <x:v>Pigment 067</x:v>
      </x:c>
      <x:c r="C39" s="76" t="n">
        <x:f>IFERROR(INDEX('Inventory'!$E$2:$E$71,MATCH(A39,'Inventory'!$A$2:$A$71,0)),0)</x:f>
        <x:v>10786</x:v>
      </x:c>
      <x:c r="D39" s="76" t="n">
        <x:f>IFERROR(INDEX('Inventory'!$F$2:$F$71,MATCH(A39,'Inventory'!$A$2:$A$71,0)),0)</x:f>
        <x:v>335</x:v>
      </x:c>
      <x:c r="E39" s="76" t="n">
        <x:f>SUMIFS('Open_POs'!$D$2:$D$26,'Open_POs'!$B$2:$B$26,A39)</x:f>
        <x:v>0</x:v>
      </x:c>
      <x:c r="F39" s="76" t="n">
        <x:f>SUMIFS('Material_Requirements'!$I$2:$I$626,'Material_Requirements'!$E$2:$E$626,A39)</x:f>
        <x:v>19802</x:v>
      </x:c>
      <x:c r="G39" s="76" t="n">
        <x:f>C39+E39-F39</x:f>
        <x:v>-9016</x:v>
      </x:c>
      <x:c r="H39" s="76" t="n">
        <x:f>COUNTIFS('Material_Requirements'!$E$2:$E$626,A39,'Material_Requirements'!$P$2:$P$626,"SHORT")</x:f>
        <x:v>5</x:v>
      </x:c>
      <x:c r="I39" s="75" t="n">
        <x:f>IF(H39=0,"",SUMIFS('Material_Requirements'!$Q$2:$Q$626,'Material_Requirements'!$E$2:$E$626,A39))</x:f>
        <x:v>46274</x:v>
      </x:c>
      <x:c r="J39" s="76" t="n">
        <x:f>IF(F39=0,C39+E39,AGGREGATE(15,6,'Material_Requirements'!$O$2:$O$626/('Material_Requirements'!$E$2:$E$626=A39),1))</x:f>
        <x:v>-9016</x:v>
      </x:c>
      <x:c r="K39" s="71" t="str">
        <x:f>IF(H39&gt;0,"SHORT",IF(COUNTIFS('Material_Requirements'!$E$2:$E$626,A39,'Material_Requirements'!$P$2:$P$626,"BELOW TARGET")&gt;0,"BELOW TARGET","COVERED"))</x:f>
        <x:v>SHORT</x:v>
      </x:c>
    </x:row>
    <x:row r="40" ht="15" customHeight="1">
      <x:c r="A40" s="71" t="str">
        <x:v>RM-004</x:v>
      </x:c>
      <x:c r="B40" s="71" t="str">
        <x:f>IFERROR(INDEX('Inventory'!$B$2:$B$71,MATCH(A40,'Inventory'!$A$2:$A$71,0)),"")</x:f>
        <x:v>Additive 004</x:v>
      </x:c>
      <x:c r="C40" s="76" t="n">
        <x:f>IFERROR(INDEX('Inventory'!$E$2:$E$71,MATCH(A40,'Inventory'!$A$2:$A$71,0)),0)</x:f>
        <x:v>11262</x:v>
      </x:c>
      <x:c r="D40" s="76" t="n">
        <x:f>IFERROR(INDEX('Inventory'!$F$2:$F$71,MATCH(A40,'Inventory'!$A$2:$A$71,0)),0)</x:f>
        <x:v>1178</x:v>
      </x:c>
      <x:c r="E40" s="76" t="n">
        <x:f>SUMIFS('Open_POs'!$D$2:$D$26,'Open_POs'!$B$2:$B$26,A40)</x:f>
        <x:v>0</x:v>
      </x:c>
      <x:c r="F40" s="76" t="n">
        <x:f>SUMIFS('Material_Requirements'!$I$2:$I$626,'Material_Requirements'!$E$2:$E$626,A40)</x:f>
        <x:v>19398.000000000004</x:v>
      </x:c>
      <x:c r="G40" s="76" t="n">
        <x:f>C40+E40-F40</x:f>
        <x:v>-8136.000000000004</x:v>
      </x:c>
      <x:c r="H40" s="76" t="n">
        <x:f>COUNTIFS('Material_Requirements'!$E$2:$E$626,A40,'Material_Requirements'!$P$2:$P$626,"SHORT")</x:f>
        <x:v>3</x:v>
      </x:c>
      <x:c r="I40" s="75" t="n">
        <x:f>IF(H40=0,"",SUMIFS('Material_Requirements'!$Q$2:$Q$626,'Material_Requirements'!$E$2:$E$626,A40))</x:f>
        <x:v>46291</x:v>
      </x:c>
      <x:c r="J40" s="76" t="n">
        <x:f>IF(F40=0,C40+E40,AGGREGATE(15,6,'Material_Requirements'!$O$2:$O$626/('Material_Requirements'!$E$2:$E$626=A40),1))</x:f>
        <x:v>-8136.000000000004</x:v>
      </x:c>
      <x:c r="K40" s="71" t="str">
        <x:f>IF(H40&gt;0,"SHORT",IF(COUNTIFS('Material_Requirements'!$E$2:$E$626,A40,'Material_Requirements'!$P$2:$P$626,"BELOW TARGET")&gt;0,"BELOW TARGET","COVERED"))</x:f>
        <x:v>SHORT</x:v>
      </x:c>
    </x:row>
    <x:row r="41" ht="15" customHeight="1">
      <x:c r="A41" s="71" t="str">
        <x:v>RM-065</x:v>
      </x:c>
      <x:c r="B41" s="71" t="str">
        <x:f>IFERROR(INDEX('Inventory'!$B$2:$B$71,MATCH(A41,'Inventory'!$A$2:$A$71,0)),"")</x:f>
        <x:v>Packaging 065</x:v>
      </x:c>
      <x:c r="C41" s="76" t="n">
        <x:f>IFERROR(INDEX('Inventory'!$E$2:$E$71,MATCH(A41,'Inventory'!$A$2:$A$71,0)),0)</x:f>
        <x:v>9289</x:v>
      </x:c>
      <x:c r="D41" s="76" t="n">
        <x:f>IFERROR(INDEX('Inventory'!$F$2:$F$71,MATCH(A41,'Inventory'!$A$2:$A$71,0)),0)</x:f>
        <x:v>282</x:v>
      </x:c>
      <x:c r="E41" s="76" t="n">
        <x:f>SUMIFS('Open_POs'!$D$2:$D$26,'Open_POs'!$B$2:$B$26,A41)</x:f>
        <x:v>2500</x:v>
      </x:c>
      <x:c r="F41" s="76" t="n">
        <x:f>SUMIFS('Material_Requirements'!$I$2:$I$626,'Material_Requirements'!$E$2:$E$626,A41)</x:f>
        <x:v>18878.399999999998</x:v>
      </x:c>
      <x:c r="G41" s="76" t="n">
        <x:f>C41+E41-F41</x:f>
        <x:v>-7089.399999999998</x:v>
      </x:c>
      <x:c r="H41" s="76" t="n">
        <x:f>COUNTIFS('Material_Requirements'!$E$2:$E$626,A41,'Material_Requirements'!$P$2:$P$626,"SHORT")</x:f>
        <x:v>2</x:v>
      </x:c>
      <x:c r="I41" s="75" t="n">
        <x:f>IF(H41=0,"",SUMIFS('Material_Requirements'!$Q$2:$Q$626,'Material_Requirements'!$E$2:$E$626,A41))</x:f>
        <x:v>46286</x:v>
      </x:c>
      <x:c r="J41" s="76" t="n">
        <x:f>IF(F41=0,C41+E41,AGGREGATE(15,6,'Material_Requirements'!$O$2:$O$626/('Material_Requirements'!$E$2:$E$626=A41),1))</x:f>
        <x:v>-7229.5999999999985</x:v>
      </x:c>
      <x:c r="K41" s="71" t="str">
        <x:f>IF(H41&gt;0,"SHORT",IF(COUNTIFS('Material_Requirements'!$E$2:$E$626,A41,'Material_Requirements'!$P$2:$P$626,"BELOW TARGET")&gt;0,"BELOW TARGET","COVERED"))</x:f>
        <x:v>SHORT</x:v>
      </x:c>
    </x:row>
    <x:row r="42" ht="15" customHeight="1">
      <x:c r="A42" s="71" t="str">
        <x:v>RM-035</x:v>
      </x:c>
      <x:c r="B42" s="71" t="str">
        <x:f>IFERROR(INDEX('Inventory'!$B$2:$B$71,MATCH(A42,'Inventory'!$A$2:$A$71,0)),"")</x:f>
        <x:v>Packaging 035</x:v>
      </x:c>
      <x:c r="C42" s="76" t="n">
        <x:f>IFERROR(INDEX('Inventory'!$E$2:$E$71,MATCH(A42,'Inventory'!$A$2:$A$71,0)),0)</x:f>
        <x:v>8691</x:v>
      </x:c>
      <x:c r="D42" s="76" t="n">
        <x:f>IFERROR(INDEX('Inventory'!$F$2:$F$71,MATCH(A42,'Inventory'!$A$2:$A$71,0)),0)</x:f>
        <x:v>505</x:v>
      </x:c>
      <x:c r="E42" s="76" t="n">
        <x:f>SUMIFS('Open_POs'!$D$2:$D$26,'Open_POs'!$B$2:$B$26,A42)</x:f>
        <x:v>0</x:v>
      </x:c>
      <x:c r="F42" s="76" t="n">
        <x:f>SUMIFS('Material_Requirements'!$I$2:$I$626,'Material_Requirements'!$E$2:$E$626,A42)</x:f>
        <x:v>14289.6</x:v>
      </x:c>
      <x:c r="G42" s="76" t="n">
        <x:f>C42+E42-F42</x:f>
        <x:v>-5598.6</x:v>
      </x:c>
      <x:c r="H42" s="76" t="n">
        <x:f>COUNTIFS('Material_Requirements'!$E$2:$E$626,A42,'Material_Requirements'!$P$2:$P$626,"SHORT")</x:f>
        <x:v>2</x:v>
      </x:c>
      <x:c r="I42" s="75" t="n">
        <x:f>IF(H42=0,"",SUMIFS('Material_Requirements'!$Q$2:$Q$626,'Material_Requirements'!$E$2:$E$626,A42))</x:f>
        <x:v>46282</x:v>
      </x:c>
      <x:c r="J42" s="76" t="n">
        <x:f>IF(F42=0,C42+E42,AGGREGATE(15,6,'Material_Requirements'!$O$2:$O$626/('Material_Requirements'!$E$2:$E$626=A42),1))</x:f>
        <x:v>-5598.6</x:v>
      </x:c>
      <x:c r="K42" s="71" t="str">
        <x:f>IF(H42&gt;0,"SHORT",IF(COUNTIFS('Material_Requirements'!$E$2:$E$626,A42,'Material_Requirements'!$P$2:$P$626,"BELOW TARGET")&gt;0,"BELOW TARGET","COVERED"))</x:f>
        <x:v>SHORT</x:v>
      </x:c>
    </x:row>
    <x:row r="43" ht="15" customHeight="1">
      <x:c r="A43" s="71" t="str">
        <x:v>RM-070</x:v>
      </x:c>
      <x:c r="B43" s="71" t="str">
        <x:f>IFERROR(INDEX('Inventory'!$B$2:$B$71,MATCH(A43,'Inventory'!$A$2:$A$71,0)),"")</x:f>
        <x:v>Packaging 070</x:v>
      </x:c>
      <x:c r="C43" s="76" t="n">
        <x:f>IFERROR(INDEX('Inventory'!$E$2:$E$71,MATCH(A43,'Inventory'!$A$2:$A$71,0)),0)</x:f>
        <x:v>5189</x:v>
      </x:c>
      <x:c r="D43" s="76" t="n">
        <x:f>IFERROR(INDEX('Inventory'!$F$2:$F$71,MATCH(A43,'Inventory'!$A$2:$A$71,0)),0)</x:f>
        <x:v>587</x:v>
      </x:c>
      <x:c r="E43" s="76" t="n">
        <x:f>SUMIFS('Open_POs'!$D$2:$D$26,'Open_POs'!$B$2:$B$26,A43)</x:f>
        <x:v>0</x:v>
      </x:c>
      <x:c r="F43" s="76" t="n">
        <x:f>SUMIFS('Material_Requirements'!$I$2:$I$626,'Material_Requirements'!$E$2:$E$626,A43)</x:f>
        <x:v>10571</x:v>
      </x:c>
      <x:c r="G43" s="76" t="n">
        <x:f>C43+E43-F43</x:f>
        <x:v>-5382</x:v>
      </x:c>
      <x:c r="H43" s="76" t="n">
        <x:f>COUNTIFS('Material_Requirements'!$E$2:$E$626,A43,'Material_Requirements'!$P$2:$P$626,"SHORT")</x:f>
        <x:v>3</x:v>
      </x:c>
      <x:c r="I43" s="75" t="n">
        <x:f>IF(H43=0,"",SUMIFS('Material_Requirements'!$Q$2:$Q$626,'Material_Requirements'!$E$2:$E$626,A43))</x:f>
        <x:v>46263</x:v>
      </x:c>
      <x:c r="J43" s="76" t="n">
        <x:f>IF(F43=0,C43+E43,AGGREGATE(15,6,'Material_Requirements'!$O$2:$O$626/('Material_Requirements'!$E$2:$E$626=A43),1))</x:f>
        <x:v>-5382</x:v>
      </x:c>
      <x:c r="K43" s="71" t="str">
        <x:f>IF(H43&gt;0,"SHORT",IF(COUNTIFS('Material_Requirements'!$E$2:$E$626,A43,'Material_Requirements'!$P$2:$P$626,"BELOW TARGET")&gt;0,"BELOW TARGET","COVERED"))</x:f>
        <x:v>SHORT</x:v>
      </x:c>
    </x:row>
    <x:row r="44" ht="15" customHeight="1">
      <x:c r="A44" s="71" t="str">
        <x:v>RM-019</x:v>
      </x:c>
      <x:c r="B44" s="71" t="str">
        <x:f>IFERROR(INDEX('Inventory'!$B$2:$B$71,MATCH(A44,'Inventory'!$A$2:$A$71,0)),"")</x:f>
        <x:v>Additive 019</x:v>
      </x:c>
      <x:c r="C44" s="76" t="n">
        <x:f>IFERROR(INDEX('Inventory'!$E$2:$E$71,MATCH(A44,'Inventory'!$A$2:$A$71,0)),0)</x:f>
        <x:v>6552</x:v>
      </x:c>
      <x:c r="D44" s="76" t="n">
        <x:f>IFERROR(INDEX('Inventory'!$F$2:$F$71,MATCH(A44,'Inventory'!$A$2:$A$71,0)),0)</x:f>
        <x:v>1079</x:v>
      </x:c>
      <x:c r="E44" s="76" t="n">
        <x:f>SUMIFS('Open_POs'!$D$2:$D$26,'Open_POs'!$B$2:$B$26,A44)</x:f>
        <x:v>1000</x:v>
      </x:c>
      <x:c r="F44" s="76" t="n">
        <x:f>SUMIFS('Material_Requirements'!$I$2:$I$626,'Material_Requirements'!$E$2:$E$626,A44)</x:f>
        <x:v>11524.2</x:v>
      </x:c>
      <x:c r="G44" s="76" t="n">
        <x:f>C44+E44-F44</x:f>
        <x:v>-3972.2000000000007</x:v>
      </x:c>
      <x:c r="H44" s="76" t="n">
        <x:f>COUNTIFS('Material_Requirements'!$E$2:$E$626,A44,'Material_Requirements'!$P$2:$P$626,"SHORT")</x:f>
        <x:v>4</x:v>
      </x:c>
      <x:c r="I44" s="75" t="n">
        <x:f>IF(H44=0,"",SUMIFS('Material_Requirements'!$Q$2:$Q$626,'Material_Requirements'!$E$2:$E$626,A44))</x:f>
        <x:v>46271</x:v>
      </x:c>
      <x:c r="J44" s="76" t="n">
        <x:f>IF(F44=0,C44+E44,AGGREGATE(15,6,'Material_Requirements'!$O$2:$O$626/('Material_Requirements'!$E$2:$E$626=A44),1))</x:f>
        <x:v>-4972.200000000001</x:v>
      </x:c>
      <x:c r="K44" s="71" t="str">
        <x:f>IF(H44&gt;0,"SHORT",IF(COUNTIFS('Material_Requirements'!$E$2:$E$626,A44,'Material_Requirements'!$P$2:$P$626,"BELOW TARGET")&gt;0,"BELOW TARGET","COVERED"))</x:f>
        <x:v>SHORT</x:v>
      </x:c>
    </x:row>
    <x:row r="45" ht="15" customHeight="1">
      <x:c r="A45" s="71" t="str">
        <x:v>RM-066</x:v>
      </x:c>
      <x:c r="B45" s="71" t="str">
        <x:f>IFERROR(INDEX('Inventory'!$B$2:$B$71,MATCH(A45,'Inventory'!$A$2:$A$71,0)),"")</x:f>
        <x:v>Resin 066</x:v>
      </x:c>
      <x:c r="C45" s="76" t="n">
        <x:f>IFERROR(INDEX('Inventory'!$E$2:$E$71,MATCH(A45,'Inventory'!$A$2:$A$71,0)),0)</x:f>
        <x:v>10876</x:v>
      </x:c>
      <x:c r="D45" s="76" t="n">
        <x:f>IFERROR(INDEX('Inventory'!$F$2:$F$71,MATCH(A45,'Inventory'!$A$2:$A$71,0)),0)</x:f>
        <x:v>567</x:v>
      </x:c>
      <x:c r="E45" s="76" t="n">
        <x:f>SUMIFS('Open_POs'!$D$2:$D$26,'Open_POs'!$B$2:$B$26,A45)</x:f>
        <x:v>0</x:v>
      </x:c>
      <x:c r="F45" s="76" t="n">
        <x:f>SUMIFS('Material_Requirements'!$I$2:$I$626,'Material_Requirements'!$E$2:$E$626,A45)</x:f>
        <x:v>15068</x:v>
      </x:c>
      <x:c r="G45" s="76" t="n">
        <x:f>C45+E45-F45</x:f>
        <x:v>-4192</x:v>
      </x:c>
      <x:c r="H45" s="76" t="n">
        <x:f>COUNTIFS('Material_Requirements'!$E$2:$E$626,A45,'Material_Requirements'!$P$2:$P$626,"SHORT")</x:f>
        <x:v>3</x:v>
      </x:c>
      <x:c r="I45" s="75" t="n">
        <x:f>IF(H45=0,"",SUMIFS('Material_Requirements'!$Q$2:$Q$626,'Material_Requirements'!$E$2:$E$626,A45))</x:f>
        <x:v>46282</x:v>
      </x:c>
      <x:c r="J45" s="76" t="n">
        <x:f>IF(F45=0,C45+E45,AGGREGATE(15,6,'Material_Requirements'!$O$2:$O$626/('Material_Requirements'!$E$2:$E$626=A45),1))</x:f>
        <x:v>-4192</x:v>
      </x:c>
      <x:c r="K45" s="71" t="str">
        <x:f>IF(H45&gt;0,"SHORT",IF(COUNTIFS('Material_Requirements'!$E$2:$E$626,A45,'Material_Requirements'!$P$2:$P$626,"BELOW TARGET")&gt;0,"BELOW TARGET","COVERED"))</x:f>
        <x:v>SHORT</x:v>
      </x:c>
    </x:row>
    <x:row r="46" ht="15" customHeight="1">
      <x:c r="A46" s="71" t="str">
        <x:v>RM-062</x:v>
      </x:c>
      <x:c r="B46" s="71" t="str">
        <x:f>IFERROR(INDEX('Inventory'!$B$2:$B$71,MATCH(A46,'Inventory'!$A$2:$A$71,0)),"")</x:f>
        <x:v>Pigment 062</x:v>
      </x:c>
      <x:c r="C46" s="76" t="n">
        <x:f>IFERROR(INDEX('Inventory'!$E$2:$E$71,MATCH(A46,'Inventory'!$A$2:$A$71,0)),0)</x:f>
        <x:v>7110</x:v>
      </x:c>
      <x:c r="D46" s="76" t="n">
        <x:f>IFERROR(INDEX('Inventory'!$F$2:$F$71,MATCH(A46,'Inventory'!$A$2:$A$71,0)),0)</x:f>
        <x:v>1339</x:v>
      </x:c>
      <x:c r="E46" s="76" t="n">
        <x:f>SUMIFS('Open_POs'!$D$2:$D$26,'Open_POs'!$B$2:$B$26,A46)</x:f>
        <x:v>1000</x:v>
      </x:c>
      <x:c r="F46" s="76" t="n">
        <x:f>SUMIFS('Material_Requirements'!$I$2:$I$626,'Material_Requirements'!$E$2:$E$626,A46)</x:f>
        <x:v>10656.3</x:v>
      </x:c>
      <x:c r="G46" s="76" t="n">
        <x:f>C46+E46-F46</x:f>
        <x:v>-2546.2999999999993</x:v>
      </x:c>
      <x:c r="H46" s="76" t="n">
        <x:f>COUNTIFS('Material_Requirements'!$E$2:$E$626,A46,'Material_Requirements'!$P$2:$P$626,"SHORT")</x:f>
        <x:v>5</x:v>
      </x:c>
      <x:c r="I46" s="75" t="n">
        <x:f>IF(H46=0,"",SUMIFS('Material_Requirements'!$Q$2:$Q$626,'Material_Requirements'!$E$2:$E$626,A46))</x:f>
        <x:v>46291</x:v>
      </x:c>
      <x:c r="J46" s="76" t="n">
        <x:f>IF(F46=0,C46+E46,AGGREGATE(15,6,'Material_Requirements'!$O$2:$O$626/('Material_Requirements'!$E$2:$E$626=A46),1))</x:f>
        <x:v>-2546.2999999999993</x:v>
      </x:c>
      <x:c r="K46" s="71" t="str">
        <x:f>IF(H46&gt;0,"SHORT",IF(COUNTIFS('Material_Requirements'!$E$2:$E$626,A46,'Material_Requirements'!$P$2:$P$626,"BELOW TARGET")&gt;0,"BELOW TARGET","COVERED"))</x:f>
        <x:v>SHORT</x:v>
      </x:c>
    </x:row>
    <x:row r="47" ht="15" customHeight="1">
      <x:c r="A47" s="71" t="str">
        <x:v>RM-046</x:v>
      </x:c>
      <x:c r="B47" s="71" t="str">
        <x:f>IFERROR(INDEX('Inventory'!$B$2:$B$71,MATCH(A47,'Inventory'!$A$2:$A$71,0)),"")</x:f>
        <x:v>Resin 046</x:v>
      </x:c>
      <x:c r="C47" s="76" t="n">
        <x:f>IFERROR(INDEX('Inventory'!$E$2:$E$71,MATCH(A47,'Inventory'!$A$2:$A$71,0)),0)</x:f>
        <x:v>15936</x:v>
      </x:c>
      <x:c r="D47" s="76" t="n">
        <x:f>IFERROR(INDEX('Inventory'!$F$2:$F$71,MATCH(A47,'Inventory'!$A$2:$A$71,0)),0)</x:f>
        <x:v>991</x:v>
      </x:c>
      <x:c r="E47" s="76" t="n">
        <x:f>SUMIFS('Open_POs'!$D$2:$D$26,'Open_POs'!$B$2:$B$26,A47)</x:f>
        <x:v>0</x:v>
      </x:c>
      <x:c r="F47" s="76" t="n">
        <x:f>SUMIFS('Material_Requirements'!$I$2:$I$626,'Material_Requirements'!$E$2:$E$626,A47)</x:f>
        <x:v>18349.800000000003</x:v>
      </x:c>
      <x:c r="G47" s="76" t="n">
        <x:f>C47+E47-F47</x:f>
        <x:v>-2413.800000000003</x:v>
      </x:c>
      <x:c r="H47" s="76" t="n">
        <x:f>COUNTIFS('Material_Requirements'!$E$2:$E$626,A47,'Material_Requirements'!$P$2:$P$626,"SHORT")</x:f>
        <x:v>1</x:v>
      </x:c>
      <x:c r="I47" s="75" t="n">
        <x:f>IF(H47=0,"",SUMIFS('Material_Requirements'!$Q$2:$Q$626,'Material_Requirements'!$E$2:$E$626,A47))</x:f>
        <x:v>46294</x:v>
      </x:c>
      <x:c r="J47" s="76" t="n">
        <x:f>IF(F47=0,C47+E47,AGGREGATE(15,6,'Material_Requirements'!$O$2:$O$626/('Material_Requirements'!$E$2:$E$626=A47),1))</x:f>
        <x:v>-2413.800000000003</x:v>
      </x:c>
      <x:c r="K47" s="71" t="str">
        <x:f>IF(H47&gt;0,"SHORT",IF(COUNTIFS('Material_Requirements'!$E$2:$E$626,A47,'Material_Requirements'!$P$2:$P$626,"BELOW TARGET")&gt;0,"BELOW TARGET","COVERED"))</x:f>
        <x:v>SHORT</x:v>
      </x:c>
    </x:row>
    <x:row r="48" ht="15" customHeight="1">
      <x:c r="A48" s="71" t="str">
        <x:v>RM-057</x:v>
      </x:c>
      <x:c r="B48" s="71" t="str">
        <x:f>IFERROR(INDEX('Inventory'!$B$2:$B$71,MATCH(A48,'Inventory'!$A$2:$A$71,0)),"")</x:f>
        <x:v>Pigment 057</x:v>
      </x:c>
      <x:c r="C48" s="76" t="n">
        <x:f>IFERROR(INDEX('Inventory'!$E$2:$E$71,MATCH(A48,'Inventory'!$A$2:$A$71,0)),0)</x:f>
        <x:v>5779</x:v>
      </x:c>
      <x:c r="D48" s="76" t="n">
        <x:f>IFERROR(INDEX('Inventory'!$F$2:$F$71,MATCH(A48,'Inventory'!$A$2:$A$71,0)),0)</x:f>
        <x:v>1148</x:v>
      </x:c>
      <x:c r="E48" s="76" t="n">
        <x:f>SUMIFS('Open_POs'!$D$2:$D$26,'Open_POs'!$B$2:$B$26,A48)</x:f>
        <x:v>2500</x:v>
      </x:c>
      <x:c r="F48" s="76" t="n">
        <x:f>SUMIFS('Material_Requirements'!$I$2:$I$626,'Material_Requirements'!$E$2:$E$626,A48)</x:f>
        <x:v>10106.300000000001</x:v>
      </x:c>
      <x:c r="G48" s="76" t="n">
        <x:f>C48+E48-F48</x:f>
        <x:v>-1827.300000000001</x:v>
      </x:c>
      <x:c r="H48" s="76" t="n">
        <x:f>COUNTIFS('Material_Requirements'!$E$2:$E$626,A48,'Material_Requirements'!$P$2:$P$626,"SHORT")</x:f>
        <x:v>4</x:v>
      </x:c>
      <x:c r="I48" s="75" t="n">
        <x:f>IF(H48=0,"",SUMIFS('Material_Requirements'!$Q$2:$Q$626,'Material_Requirements'!$E$2:$E$626,A48))</x:f>
        <x:v>46271</x:v>
      </x:c>
      <x:c r="J48" s="76" t="n">
        <x:f>IF(F48=0,C48+E48,AGGREGATE(15,6,'Material_Requirements'!$O$2:$O$626/('Material_Requirements'!$E$2:$E$626=A48),1))</x:f>
        <x:v>-2409.4000000000005</x:v>
      </x:c>
      <x:c r="K48" s="71" t="str">
        <x:f>IF(H48&gt;0,"SHORT",IF(COUNTIFS('Material_Requirements'!$E$2:$E$626,A48,'Material_Requirements'!$P$2:$P$626,"BELOW TARGET")&gt;0,"BELOW TARGET","COVERED"))</x:f>
        <x:v>SHORT</x:v>
      </x:c>
    </x:row>
    <x:row r="49" ht="15" customHeight="1">
      <x:c r="A49" s="71" t="str">
        <x:v>RM-064</x:v>
      </x:c>
      <x:c r="B49" s="71" t="str">
        <x:f>IFERROR(INDEX('Inventory'!$B$2:$B$71,MATCH(A49,'Inventory'!$A$2:$A$71,0)),"")</x:f>
        <x:v>Additive 064</x:v>
      </x:c>
      <x:c r="C49" s="76" t="n">
        <x:f>IFERROR(INDEX('Inventory'!$E$2:$E$71,MATCH(A49,'Inventory'!$A$2:$A$71,0)),0)</x:f>
        <x:v>299</x:v>
      </x:c>
      <x:c r="D49" s="76" t="n">
        <x:f>IFERROR(INDEX('Inventory'!$F$2:$F$71,MATCH(A49,'Inventory'!$A$2:$A$71,0)),0)</x:f>
        <x:v>1464</x:v>
      </x:c>
      <x:c r="E49" s="76" t="n">
        <x:f>SUMIFS('Open_POs'!$D$2:$D$26,'Open_POs'!$B$2:$B$26,A49)</x:f>
        <x:v>1000</x:v>
      </x:c>
      <x:c r="F49" s="76" t="n">
        <x:f>SUMIFS('Material_Requirements'!$I$2:$I$626,'Material_Requirements'!$E$2:$E$626,A49)</x:f>
        <x:v>2226</x:v>
      </x:c>
      <x:c r="G49" s="76" t="n">
        <x:f>C49+E49-F49</x:f>
        <x:v>-927</x:v>
      </x:c>
      <x:c r="H49" s="76" t="n">
        <x:f>COUNTIFS('Material_Requirements'!$E$2:$E$626,A49,'Material_Requirements'!$P$2:$P$626,"SHORT")</x:f>
        <x:v>1</x:v>
      </x:c>
      <x:c r="I49" s="75" t="n">
        <x:f>IF(H49=0,"",SUMIFS('Material_Requirements'!$Q$2:$Q$626,'Material_Requirements'!$E$2:$E$626,A49))</x:f>
        <x:v>46271</x:v>
      </x:c>
      <x:c r="J49" s="76" t="n">
        <x:f>IF(F49=0,C49+E49,AGGREGATE(15,6,'Material_Requirements'!$O$2:$O$626/('Material_Requirements'!$E$2:$E$626=A49),1))</x:f>
        <x:v>-1927</x:v>
      </x:c>
      <x:c r="K49" s="71" t="str">
        <x:f>IF(H49&gt;0,"SHORT",IF(COUNTIFS('Material_Requirements'!$E$2:$E$626,A49,'Material_Requirements'!$P$2:$P$626,"BELOW TARGET")&gt;0,"BELOW TARGET","COVERED"))</x:f>
        <x:v>SHORT</x:v>
      </x:c>
    </x:row>
    <x:row r="50" ht="15" customHeight="1">
      <x:c r="A50" s="71" t="str">
        <x:v>RM-047</x:v>
      </x:c>
      <x:c r="B50" s="71" t="str">
        <x:f>IFERROR(INDEX('Inventory'!$B$2:$B$71,MATCH(A50,'Inventory'!$A$2:$A$71,0)),"")</x:f>
        <x:v>Pigment 047</x:v>
      </x:c>
      <x:c r="C50" s="76" t="n">
        <x:f>IFERROR(INDEX('Inventory'!$E$2:$E$71,MATCH(A50,'Inventory'!$A$2:$A$71,0)),0)</x:f>
        <x:v>4384</x:v>
      </x:c>
      <x:c r="D50" s="76" t="n">
        <x:f>IFERROR(INDEX('Inventory'!$F$2:$F$71,MATCH(A50,'Inventory'!$A$2:$A$71,0)),0)</x:f>
        <x:v>1229</x:v>
      </x:c>
      <x:c r="E50" s="76" t="n">
        <x:f>SUMIFS('Open_POs'!$D$2:$D$26,'Open_POs'!$B$2:$B$26,A50)</x:f>
        <x:v>0</x:v>
      </x:c>
      <x:c r="F50" s="76" t="n">
        <x:f>SUMIFS('Material_Requirements'!$I$2:$I$626,'Material_Requirements'!$E$2:$E$626,A50)</x:f>
        <x:v>6070.4</x:v>
      </x:c>
      <x:c r="G50" s="76" t="n">
        <x:f>C50+E50-F50</x:f>
        <x:v>-1686.3999999999996</x:v>
      </x:c>
      <x:c r="H50" s="76" t="n">
        <x:f>COUNTIFS('Material_Requirements'!$E$2:$E$626,A50,'Material_Requirements'!$P$2:$P$626,"SHORT")</x:f>
        <x:v>1</x:v>
      </x:c>
      <x:c r="I50" s="75" t="n">
        <x:f>IF(H50=0,"",SUMIFS('Material_Requirements'!$Q$2:$Q$626,'Material_Requirements'!$E$2:$E$626,A50))</x:f>
        <x:v>46288</x:v>
      </x:c>
      <x:c r="J50" s="76" t="n">
        <x:f>IF(F50=0,C50+E50,AGGREGATE(15,6,'Material_Requirements'!$O$2:$O$626/('Material_Requirements'!$E$2:$E$626=A50),1))</x:f>
        <x:v>-1686.3999999999996</x:v>
      </x:c>
      <x:c r="K50" s="71" t="str">
        <x:f>IF(H50&gt;0,"SHORT",IF(COUNTIFS('Material_Requirements'!$E$2:$E$626,A50,'Material_Requirements'!$P$2:$P$626,"BELOW TARGET")&gt;0,"BELOW TARGET","COVERED"))</x:f>
        <x:v>SHORT</x:v>
      </x:c>
    </x:row>
    <x:row r="51" ht="15" customHeight="1">
      <x:c r="A51" s="71" t="str">
        <x:v>RM-069</x:v>
      </x:c>
      <x:c r="B51" s="71" t="str">
        <x:f>IFERROR(INDEX('Inventory'!$B$2:$B$71,MATCH(A51,'Inventory'!$A$2:$A$71,0)),"")</x:f>
        <x:v>Additive 069</x:v>
      </x:c>
      <x:c r="C51" s="76" t="n">
        <x:f>IFERROR(INDEX('Inventory'!$E$2:$E$71,MATCH(A51,'Inventory'!$A$2:$A$71,0)),0)</x:f>
        <x:v>2870</x:v>
      </x:c>
      <x:c r="D51" s="76" t="n">
        <x:f>IFERROR(INDEX('Inventory'!$F$2:$F$71,MATCH(A51,'Inventory'!$A$2:$A$71,0)),0)</x:f>
        <x:v>986</x:v>
      </x:c>
      <x:c r="E51" s="76" t="n">
        <x:f>SUMIFS('Open_POs'!$D$2:$D$26,'Open_POs'!$B$2:$B$26,A51)</x:f>
        <x:v>0</x:v>
      </x:c>
      <x:c r="F51" s="76" t="n">
        <x:f>SUMIFS('Material_Requirements'!$I$2:$I$626,'Material_Requirements'!$E$2:$E$626,A51)</x:f>
        <x:v>4154.700000000001</x:v>
      </x:c>
      <x:c r="G51" s="76" t="n">
        <x:f>C51+E51-F51</x:f>
        <x:v>-1284.7000000000007</x:v>
      </x:c>
      <x:c r="H51" s="76" t="n">
        <x:f>COUNTIFS('Material_Requirements'!$E$2:$E$626,A51,'Material_Requirements'!$P$2:$P$626,"SHORT")</x:f>
        <x:v>2</x:v>
      </x:c>
      <x:c r="I51" s="75" t="n">
        <x:f>IF(H51=0,"",SUMIFS('Material_Requirements'!$Q$2:$Q$626,'Material_Requirements'!$E$2:$E$626,A51))</x:f>
        <x:v>46274</x:v>
      </x:c>
      <x:c r="J51" s="76" t="n">
        <x:f>IF(F51=0,C51+E51,AGGREGATE(15,6,'Material_Requirements'!$O$2:$O$626/('Material_Requirements'!$E$2:$E$626=A51),1))</x:f>
        <x:v>-1284.7000000000007</x:v>
      </x:c>
      <x:c r="K51" s="71" t="str">
        <x:f>IF(H51&gt;0,"SHORT",IF(COUNTIFS('Material_Requirements'!$E$2:$E$626,A51,'Material_Requirements'!$P$2:$P$626,"BELOW TARGET")&gt;0,"BELOW TARGET","COVERED"))</x:f>
        <x:v>SHORT</x:v>
      </x:c>
    </x:row>
    <x:row r="52" ht="15" customHeight="1">
      <x:c r="A52" s="71" t="str">
        <x:v>RM-061</x:v>
      </x:c>
      <x:c r="B52" s="71" t="str">
        <x:f>IFERROR(INDEX('Inventory'!$B$2:$B$71,MATCH(A52,'Inventory'!$A$2:$A$71,0)),"")</x:f>
        <x:v>Resin 061</x:v>
      </x:c>
      <x:c r="C52" s="76" t="n">
        <x:f>IFERROR(INDEX('Inventory'!$E$2:$E$71,MATCH(A52,'Inventory'!$A$2:$A$71,0)),0)</x:f>
        <x:v>16149</x:v>
      </x:c>
      <x:c r="D52" s="76" t="n">
        <x:f>IFERROR(INDEX('Inventory'!$F$2:$F$71,MATCH(A52,'Inventory'!$A$2:$A$71,0)),0)</x:f>
        <x:v>521</x:v>
      </x:c>
      <x:c r="E52" s="76" t="n">
        <x:f>SUMIFS('Open_POs'!$D$2:$D$26,'Open_POs'!$B$2:$B$26,A52)</x:f>
        <x:v>0</x:v>
      </x:c>
      <x:c r="F52" s="76" t="n">
        <x:f>SUMIFS('Material_Requirements'!$I$2:$I$626,'Material_Requirements'!$E$2:$E$626,A52)</x:f>
        <x:v>16336.2</x:v>
      </x:c>
      <x:c r="G52" s="76" t="n">
        <x:f>C52+E52-F52</x:f>
        <x:v>-187.20000000000073</x:v>
      </x:c>
      <x:c r="H52" s="76" t="n">
        <x:f>COUNTIFS('Material_Requirements'!$E$2:$E$626,A52,'Material_Requirements'!$P$2:$P$626,"SHORT")</x:f>
        <x:v>1</x:v>
      </x:c>
      <x:c r="I52" s="75" t="n">
        <x:f>IF(H52=0,"",SUMIFS('Material_Requirements'!$Q$2:$Q$626,'Material_Requirements'!$E$2:$E$626,A52))</x:f>
        <x:v>46296</x:v>
      </x:c>
      <x:c r="J52" s="76" t="n">
        <x:f>IF(F52=0,C52+E52,AGGREGATE(15,6,'Material_Requirements'!$O$2:$O$626/('Material_Requirements'!$E$2:$E$626=A52),1))</x:f>
        <x:v>-187.20000000000073</x:v>
      </x:c>
      <x:c r="K52" s="71" t="str">
        <x:f>IF(H52&gt;0,"SHORT",IF(COUNTIFS('Material_Requirements'!$E$2:$E$626,A52,'Material_Requirements'!$P$2:$P$626,"BELOW TARGET")&gt;0,"BELOW TARGET","COVERED"))</x:f>
        <x:v>SHORT</x:v>
      </x:c>
    </x:row>
    <x:row r="53" ht="15" customHeight="1">
      <x:c r="A53" s="71" t="str">
        <x:v>RM-003</x:v>
      </x:c>
      <x:c r="B53" s="71" t="str">
        <x:f>IFERROR(INDEX('Inventory'!$B$2:$B$71,MATCH(A53,'Inventory'!$A$2:$A$71,0)),"")</x:f>
        <x:v>Filler 003</x:v>
      </x:c>
      <x:c r="C53" s="76" t="n">
        <x:f>IFERROR(INDEX('Inventory'!$E$2:$E$71,MATCH(A53,'Inventory'!$A$2:$A$71,0)),0)</x:f>
        <x:v>15564</x:v>
      </x:c>
      <x:c r="D53" s="76" t="n">
        <x:f>IFERROR(INDEX('Inventory'!$F$2:$F$71,MATCH(A53,'Inventory'!$A$2:$A$71,0)),0)</x:f>
        <x:v>174</x:v>
      </x:c>
      <x:c r="E53" s="76" t="n">
        <x:f>SUMIFS('Open_POs'!$D$2:$D$26,'Open_POs'!$B$2:$B$26,A53)</x:f>
        <x:v>0</x:v>
      </x:c>
      <x:c r="F53" s="76" t="n">
        <x:f>SUMIFS('Material_Requirements'!$I$2:$I$626,'Material_Requirements'!$E$2:$E$626,A53)</x:f>
        <x:v>15654.6</x:v>
      </x:c>
      <x:c r="G53" s="76" t="n">
        <x:f>C53+E53-F53</x:f>
        <x:v>-90.60000000000036</x:v>
      </x:c>
      <x:c r="H53" s="76" t="n">
        <x:f>COUNTIFS('Material_Requirements'!$E$2:$E$626,A53,'Material_Requirements'!$P$2:$P$626,"SHORT")</x:f>
        <x:v>1</x:v>
      </x:c>
      <x:c r="I53" s="75" t="n">
        <x:f>IF(H53=0,"",SUMIFS('Material_Requirements'!$Q$2:$Q$626,'Material_Requirements'!$E$2:$E$626,A53))</x:f>
        <x:v>46292</x:v>
      </x:c>
      <x:c r="J53" s="76" t="n">
        <x:f>IF(F53=0,C53+E53,AGGREGATE(15,6,'Material_Requirements'!$O$2:$O$626/('Material_Requirements'!$E$2:$E$626=A53),1))</x:f>
        <x:v>-90.60000000000036</x:v>
      </x:c>
      <x:c r="K53" s="71" t="str">
        <x:f>IF(H53&gt;0,"SHORT",IF(COUNTIFS('Material_Requirements'!$E$2:$E$626,A53,'Material_Requirements'!$P$2:$P$626,"BELOW TARGET")&gt;0,"BELOW TARGET","COVERED"))</x:f>
        <x:v>SHORT</x:v>
      </x:c>
    </x:row>
    <x:row r="54" ht="15" customHeight="1">
      <x:c r="A54" s="71" t="str">
        <x:v>RM-015</x:v>
      </x:c>
      <x:c r="B54" s="71" t="str">
        <x:f>IFERROR(INDEX('Inventory'!$B$2:$B$71,MATCH(A54,'Inventory'!$A$2:$A$71,0)),"")</x:f>
        <x:v>Packaging 015</x:v>
      </x:c>
      <x:c r="C54" s="76" t="n">
        <x:f>IFERROR(INDEX('Inventory'!$E$2:$E$71,MATCH(A54,'Inventory'!$A$2:$A$71,0)),0)</x:f>
        <x:v>8914</x:v>
      </x:c>
      <x:c r="D54" s="76" t="n">
        <x:f>IFERROR(INDEX('Inventory'!$F$2:$F$71,MATCH(A54,'Inventory'!$A$2:$A$71,0)),0)</x:f>
        <x:v>1380</x:v>
      </x:c>
      <x:c r="E54" s="76" t="n">
        <x:f>SUMIFS('Open_POs'!$D$2:$D$26,'Open_POs'!$B$2:$B$26,A54)</x:f>
        <x:v>10000</x:v>
      </x:c>
      <x:c r="F54" s="76" t="n">
        <x:f>SUMIFS('Material_Requirements'!$I$2:$I$626,'Material_Requirements'!$E$2:$E$626,A54)</x:f>
        <x:v>11427.6</x:v>
      </x:c>
      <x:c r="G54" s="76" t="n">
        <x:f>C54+E54-F54</x:f>
        <x:v>7486.4</x:v>
      </x:c>
      <x:c r="H54" s="76" t="n">
        <x:f>COUNTIFS('Material_Requirements'!$E$2:$E$626,A54,'Material_Requirements'!$P$2:$P$626,"SHORT")</x:f>
        <x:v>0</x:v>
      </x:c>
      <x:c r="I54" s="75" t="str">
        <x:f>IF(H54=0,"",SUMIFS('Material_Requirements'!$Q$2:$Q$626,'Material_Requirements'!$E$2:$E$626,A54))</x:f>
      </x:c>
      <x:c r="J54" s="76" t="n">
        <x:f>IF(F54=0,C54+E54,AGGREGATE(15,6,'Material_Requirements'!$O$2:$O$626/('Material_Requirements'!$E$2:$E$626=A54),1))</x:f>
        <x:v>0</x:v>
      </x:c>
      <x:c r="K54" s="71" t="str">
        <x:f>IF(H54&gt;0,"SHORT",IF(COUNTIFS('Material_Requirements'!$E$2:$E$626,A54,'Material_Requirements'!$P$2:$P$626,"BELOW TARGET")&gt;0,"BELOW TARGET","COVERED"))</x:f>
        <x:v>BELOW TARGET</x:v>
      </x:c>
    </x:row>
    <x:row r="55" ht="15" customHeight="1">
      <x:c r="A55" s="71" t="str">
        <x:v>RM-040</x:v>
      </x:c>
      <x:c r="B55" s="71" t="str">
        <x:f>IFERROR(INDEX('Inventory'!$B$2:$B$71,MATCH(A55,'Inventory'!$A$2:$A$71,0)),"")</x:f>
        <x:v>Packaging 040</x:v>
      </x:c>
      <x:c r="C55" s="76" t="n">
        <x:f>IFERROR(INDEX('Inventory'!$E$2:$E$71,MATCH(A55,'Inventory'!$A$2:$A$71,0)),0)</x:f>
        <x:v>875</x:v>
      </x:c>
      <x:c r="D55" s="76" t="n">
        <x:f>IFERROR(INDEX('Inventory'!$F$2:$F$71,MATCH(A55,'Inventory'!$A$2:$A$71,0)),0)</x:f>
        <x:v>347</x:v>
      </x:c>
      <x:c r="E55" s="76" t="n">
        <x:f>SUMIFS('Open_POs'!$D$2:$D$26,'Open_POs'!$B$2:$B$26,A55)</x:f>
        <x:v>0</x:v>
      </x:c>
      <x:c r="F55" s="76" t="n">
        <x:f>SUMIFS('Material_Requirements'!$I$2:$I$626,'Material_Requirements'!$E$2:$E$626,A55)</x:f>
        <x:v>0</x:v>
      </x:c>
      <x:c r="G55" s="76" t="n">
        <x:f>C55+E55-F55</x:f>
        <x:v>875</x:v>
      </x:c>
      <x:c r="H55" s="76" t="n">
        <x:f>COUNTIFS('Material_Requirements'!$E$2:$E$626,A55,'Material_Requirements'!$P$2:$P$626,"SHORT")</x:f>
        <x:v>0</x:v>
      </x:c>
      <x:c r="I55" s="75" t="str">
        <x:f>IF(H55=0,"",SUMIFS('Material_Requirements'!$Q$2:$Q$626,'Material_Requirements'!$E$2:$E$626,A55))</x:f>
      </x:c>
      <x:c r="J55" s="76" t="n">
        <x:f>IF(F55=0,C55+E55,AGGREGATE(15,6,'Material_Requirements'!$O$2:$O$626/('Material_Requirements'!$E$2:$E$626=A55),1))</x:f>
        <x:v>875</x:v>
      </x:c>
      <x:c r="K55" s="71" t="str">
        <x:f>IF(H55&gt;0,"SHORT",IF(COUNTIFS('Material_Requirements'!$E$2:$E$626,A55,'Material_Requirements'!$P$2:$P$626,"BELOW TARGET")&gt;0,"BELOW TARGET","COVERED"))</x:f>
        <x:v>COVERED</x:v>
      </x:c>
    </x:row>
    <x:row r="56" ht="15" customHeight="1">
      <x:c r="A56" s="71" t="str">
        <x:v>RM-013</x:v>
      </x:c>
      <x:c r="B56" s="71" t="str">
        <x:f>IFERROR(INDEX('Inventory'!$B$2:$B$71,MATCH(A56,'Inventory'!$A$2:$A$71,0)),"")</x:f>
        <x:v>Filler 013</x:v>
      </x:c>
      <x:c r="C56" s="76" t="n">
        <x:f>IFERROR(INDEX('Inventory'!$E$2:$E$71,MATCH(A56,'Inventory'!$A$2:$A$71,0)),0)</x:f>
        <x:v>16230</x:v>
      </x:c>
      <x:c r="D56" s="76" t="n">
        <x:f>IFERROR(INDEX('Inventory'!$F$2:$F$71,MATCH(A56,'Inventory'!$A$2:$A$71,0)),0)</x:f>
        <x:v>1037</x:v>
      </x:c>
      <x:c r="E56" s="76" t="n">
        <x:f>SUMIFS('Open_POs'!$D$2:$D$26,'Open_POs'!$B$2:$B$26,A56)</x:f>
        <x:v>0</x:v>
      </x:c>
      <x:c r="F56" s="76" t="n">
        <x:f>SUMIFS('Material_Requirements'!$I$2:$I$626,'Material_Requirements'!$E$2:$E$626,A56)</x:f>
        <x:v>14931.600000000002</x:v>
      </x:c>
      <x:c r="G56" s="76" t="n">
        <x:f>C56+E56-F56</x:f>
        <x:v>1298.3999999999978</x:v>
      </x:c>
      <x:c r="H56" s="76" t="n">
        <x:f>COUNTIFS('Material_Requirements'!$E$2:$E$626,A56,'Material_Requirements'!$P$2:$P$626,"SHORT")</x:f>
        <x:v>0</x:v>
      </x:c>
      <x:c r="I56" s="75" t="str">
        <x:f>IF(H56=0,"",SUMIFS('Material_Requirements'!$Q$2:$Q$626,'Material_Requirements'!$E$2:$E$626,A56))</x:f>
      </x:c>
      <x:c r="J56" s="76" t="n">
        <x:f>IF(F56=0,C56+E56,AGGREGATE(15,6,'Material_Requirements'!$O$2:$O$626/('Material_Requirements'!$E$2:$E$626=A56),1))</x:f>
        <x:v>0</x:v>
      </x:c>
      <x:c r="K56" s="71" t="str">
        <x:f>IF(H56&gt;0,"SHORT",IF(COUNTIFS('Material_Requirements'!$E$2:$E$626,A56,'Material_Requirements'!$P$2:$P$626,"BELOW TARGET")&gt;0,"BELOW TARGET","COVERED"))</x:f>
        <x:v>COVERED</x:v>
      </x:c>
    </x:row>
    <x:row r="57" ht="15" customHeight="1">
      <x:c r="A57" s="71" t="str">
        <x:v>RM-029</x:v>
      </x:c>
      <x:c r="B57" s="71" t="str">
        <x:f>IFERROR(INDEX('Inventory'!$B$2:$B$71,MATCH(A57,'Inventory'!$A$2:$A$71,0)),"")</x:f>
        <x:v>Additive 029</x:v>
      </x:c>
      <x:c r="C57" s="76" t="n">
        <x:f>IFERROR(INDEX('Inventory'!$E$2:$E$71,MATCH(A57,'Inventory'!$A$2:$A$71,0)),0)</x:f>
        <x:v>1338</x:v>
      </x:c>
      <x:c r="D57" s="76" t="n">
        <x:f>IFERROR(INDEX('Inventory'!$F$2:$F$71,MATCH(A57,'Inventory'!$A$2:$A$71,0)),0)</x:f>
        <x:v>878</x:v>
      </x:c>
      <x:c r="E57" s="76" t="n">
        <x:f>SUMIFS('Open_POs'!$D$2:$D$26,'Open_POs'!$B$2:$B$26,A57)</x:f>
        <x:v>0</x:v>
      </x:c>
      <x:c r="F57" s="76" t="n">
        <x:f>SUMIFS('Material_Requirements'!$I$2:$I$626,'Material_Requirements'!$E$2:$E$626,A57)</x:f>
        <x:v>0</x:v>
      </x:c>
      <x:c r="G57" s="76" t="n">
        <x:f>C57+E57-F57</x:f>
        <x:v>1338</x:v>
      </x:c>
      <x:c r="H57" s="76" t="n">
        <x:f>COUNTIFS('Material_Requirements'!$E$2:$E$626,A57,'Material_Requirements'!$P$2:$P$626,"SHORT")</x:f>
        <x:v>0</x:v>
      </x:c>
      <x:c r="I57" s="75" t="str">
        <x:f>IF(H57=0,"",SUMIFS('Material_Requirements'!$Q$2:$Q$626,'Material_Requirements'!$E$2:$E$626,A57))</x:f>
      </x:c>
      <x:c r="J57" s="76" t="n">
        <x:f>IF(F57=0,C57+E57,AGGREGATE(15,6,'Material_Requirements'!$O$2:$O$626/('Material_Requirements'!$E$2:$E$626=A57),1))</x:f>
        <x:v>1338</x:v>
      </x:c>
      <x:c r="K57" s="71" t="str">
        <x:f>IF(H57&gt;0,"SHORT",IF(COUNTIFS('Material_Requirements'!$E$2:$E$626,A57,'Material_Requirements'!$P$2:$P$626,"BELOW TARGET")&gt;0,"BELOW TARGET","COVERED"))</x:f>
        <x:v>COVERED</x:v>
      </x:c>
    </x:row>
    <x:row r="58" ht="15" customHeight="1">
      <x:c r="A58" s="71" t="str">
        <x:v>RM-049</x:v>
      </x:c>
      <x:c r="B58" s="71" t="str">
        <x:f>IFERROR(INDEX('Inventory'!$B$2:$B$71,MATCH(A58,'Inventory'!$A$2:$A$71,0)),"")</x:f>
        <x:v>Additive 049</x:v>
      </x:c>
      <x:c r="C58" s="76" t="n">
        <x:f>IFERROR(INDEX('Inventory'!$E$2:$E$71,MATCH(A58,'Inventory'!$A$2:$A$71,0)),0)</x:f>
        <x:v>1792</x:v>
      </x:c>
      <x:c r="D58" s="76" t="n">
        <x:f>IFERROR(INDEX('Inventory'!$F$2:$F$71,MATCH(A58,'Inventory'!$A$2:$A$71,0)),0)</x:f>
        <x:v>912</x:v>
      </x:c>
      <x:c r="E58" s="76" t="n">
        <x:f>SUMIFS('Open_POs'!$D$2:$D$26,'Open_POs'!$B$2:$B$26,A58)</x:f>
        <x:v>0</x:v>
      </x:c>
      <x:c r="F58" s="76" t="n">
        <x:f>SUMIFS('Material_Requirements'!$I$2:$I$626,'Material_Requirements'!$E$2:$E$626,A58)</x:f>
        <x:v>0</x:v>
      </x:c>
      <x:c r="G58" s="76" t="n">
        <x:f>C58+E58-F58</x:f>
        <x:v>1792</x:v>
      </x:c>
      <x:c r="H58" s="76" t="n">
        <x:f>COUNTIFS('Material_Requirements'!$E$2:$E$626,A58,'Material_Requirements'!$P$2:$P$626,"SHORT")</x:f>
        <x:v>0</x:v>
      </x:c>
      <x:c r="I58" s="75" t="str">
        <x:f>IF(H58=0,"",SUMIFS('Material_Requirements'!$Q$2:$Q$626,'Material_Requirements'!$E$2:$E$626,A58))</x:f>
      </x:c>
      <x:c r="J58" s="76" t="n">
        <x:f>IF(F58=0,C58+E58,AGGREGATE(15,6,'Material_Requirements'!$O$2:$O$626/('Material_Requirements'!$E$2:$E$626=A58),1))</x:f>
        <x:v>1792</x:v>
      </x:c>
      <x:c r="K58" s="71" t="str">
        <x:f>IF(H58&gt;0,"SHORT",IF(COUNTIFS('Material_Requirements'!$E$2:$E$626,A58,'Material_Requirements'!$P$2:$P$626,"BELOW TARGET")&gt;0,"BELOW TARGET","COVERED"))</x:f>
        <x:v>COVERED</x:v>
      </x:c>
    </x:row>
    <x:row r="59" ht="15" customHeight="1">
      <x:c r="A59" s="71" t="str">
        <x:v>RM-022</x:v>
      </x:c>
      <x:c r="B59" s="71" t="str">
        <x:f>IFERROR(INDEX('Inventory'!$B$2:$B$71,MATCH(A59,'Inventory'!$A$2:$A$71,0)),"")</x:f>
        <x:v>Pigment 022</x:v>
      </x:c>
      <x:c r="C59" s="76" t="n">
        <x:f>IFERROR(INDEX('Inventory'!$E$2:$E$71,MATCH(A59,'Inventory'!$A$2:$A$71,0)),0)</x:f>
        <x:v>12228</x:v>
      </x:c>
      <x:c r="D59" s="76" t="n">
        <x:f>IFERROR(INDEX('Inventory'!$F$2:$F$71,MATCH(A59,'Inventory'!$A$2:$A$71,0)),0)</x:f>
        <x:v>411</x:v>
      </x:c>
      <x:c r="E59" s="76" t="n">
        <x:f>SUMIFS('Open_POs'!$D$2:$D$26,'Open_POs'!$B$2:$B$26,A59)</x:f>
        <x:v>0</x:v>
      </x:c>
      <x:c r="F59" s="76" t="n">
        <x:f>SUMIFS('Material_Requirements'!$I$2:$I$626,'Material_Requirements'!$E$2:$E$626,A59)</x:f>
        <x:v>8987.2</x:v>
      </x:c>
      <x:c r="G59" s="76" t="n">
        <x:f>C59+E59-F59</x:f>
        <x:v>3240.7999999999993</x:v>
      </x:c>
      <x:c r="H59" s="76" t="n">
        <x:f>COUNTIFS('Material_Requirements'!$E$2:$E$626,A59,'Material_Requirements'!$P$2:$P$626,"SHORT")</x:f>
        <x:v>0</x:v>
      </x:c>
      <x:c r="I59" s="75" t="str">
        <x:f>IF(H59=0,"",SUMIFS('Material_Requirements'!$Q$2:$Q$626,'Material_Requirements'!$E$2:$E$626,A59))</x:f>
      </x:c>
      <x:c r="J59" s="76" t="n">
        <x:f>IF(F59=0,C59+E59,AGGREGATE(15,6,'Material_Requirements'!$O$2:$O$626/('Material_Requirements'!$E$2:$E$626=A59),1))</x:f>
        <x:v>0</x:v>
      </x:c>
      <x:c r="K59" s="71" t="str">
        <x:f>IF(H59&gt;0,"SHORT",IF(COUNTIFS('Material_Requirements'!$E$2:$E$626,A59,'Material_Requirements'!$P$2:$P$626,"BELOW TARGET")&gt;0,"BELOW TARGET","COVERED"))</x:f>
        <x:v>COVERED</x:v>
      </x:c>
    </x:row>
    <x:row r="60" ht="15" customHeight="1">
      <x:c r="A60" s="71" t="str">
        <x:v>RM-055</x:v>
      </x:c>
      <x:c r="B60" s="71" t="str">
        <x:f>IFERROR(INDEX('Inventory'!$B$2:$B$71,MATCH(A60,'Inventory'!$A$2:$A$71,0)),"")</x:f>
        <x:v>Packaging 055</x:v>
      </x:c>
      <x:c r="C60" s="76" t="n">
        <x:f>IFERROR(INDEX('Inventory'!$E$2:$E$71,MATCH(A60,'Inventory'!$A$2:$A$71,0)),0)</x:f>
        <x:v>6551</x:v>
      </x:c>
      <x:c r="D60" s="76" t="n">
        <x:f>IFERROR(INDEX('Inventory'!$F$2:$F$71,MATCH(A60,'Inventory'!$A$2:$A$71,0)),0)</x:f>
        <x:v>738</x:v>
      </x:c>
      <x:c r="E60" s="76" t="n">
        <x:f>SUMIFS('Open_POs'!$D$2:$D$26,'Open_POs'!$B$2:$B$26,A60)</x:f>
        <x:v>5000</x:v>
      </x:c>
      <x:c r="F60" s="76" t="n">
        <x:f>SUMIFS('Material_Requirements'!$I$2:$I$626,'Material_Requirements'!$E$2:$E$626,A60)</x:f>
        <x:v>8097.299999999999</x:v>
      </x:c>
      <x:c r="G60" s="76" t="n">
        <x:f>C60+E60-F60</x:f>
        <x:v>3453.7000000000007</x:v>
      </x:c>
      <x:c r="H60" s="76" t="n">
        <x:f>COUNTIFS('Material_Requirements'!$E$2:$E$626,A60,'Material_Requirements'!$P$2:$P$626,"SHORT")</x:f>
        <x:v>0</x:v>
      </x:c>
      <x:c r="I60" s="75" t="str">
        <x:f>IF(H60=0,"",SUMIFS('Material_Requirements'!$Q$2:$Q$626,'Material_Requirements'!$E$2:$E$626,A60))</x:f>
      </x:c>
      <x:c r="J60" s="76" t="n">
        <x:f>IF(F60=0,C60+E60,AGGREGATE(15,6,'Material_Requirements'!$O$2:$O$626/('Material_Requirements'!$E$2:$E$626=A60),1))</x:f>
        <x:v>0</x:v>
      </x:c>
      <x:c r="K60" s="71" t="str">
        <x:f>IF(H60&gt;0,"SHORT",IF(COUNTIFS('Material_Requirements'!$E$2:$E$626,A60,'Material_Requirements'!$P$2:$P$626,"BELOW TARGET")&gt;0,"BELOW TARGET","COVERED"))</x:f>
        <x:v>COVERED</x:v>
      </x:c>
    </x:row>
    <x:row r="61" ht="15" customHeight="1">
      <x:c r="A61" s="71" t="str">
        <x:v>RM-054</x:v>
      </x:c>
      <x:c r="B61" s="71" t="str">
        <x:f>IFERROR(INDEX('Inventory'!$B$2:$B$71,MATCH(A61,'Inventory'!$A$2:$A$71,0)),"")</x:f>
        <x:v>Additive 054</x:v>
      </x:c>
      <x:c r="C61" s="76" t="n">
        <x:f>IFERROR(INDEX('Inventory'!$E$2:$E$71,MATCH(A61,'Inventory'!$A$2:$A$71,0)),0)</x:f>
        <x:v>15751</x:v>
      </x:c>
      <x:c r="D61" s="76" t="n">
        <x:f>IFERROR(INDEX('Inventory'!$F$2:$F$71,MATCH(A61,'Inventory'!$A$2:$A$71,0)),0)</x:f>
        <x:v>1392</x:v>
      </x:c>
      <x:c r="E61" s="76" t="n">
        <x:f>SUMIFS('Open_POs'!$D$2:$D$26,'Open_POs'!$B$2:$B$26,A61)</x:f>
        <x:v>0</x:v>
      </x:c>
      <x:c r="F61" s="76" t="n">
        <x:f>SUMIFS('Material_Requirements'!$I$2:$I$626,'Material_Requirements'!$E$2:$E$626,A61)</x:f>
        <x:v>11152.7</x:v>
      </x:c>
      <x:c r="G61" s="76" t="n">
        <x:f>C61+E61-F61</x:f>
        <x:v>4598.299999999999</x:v>
      </x:c>
      <x:c r="H61" s="76" t="n">
        <x:f>COUNTIFS('Material_Requirements'!$E$2:$E$626,A61,'Material_Requirements'!$P$2:$P$626,"SHORT")</x:f>
        <x:v>0</x:v>
      </x:c>
      <x:c r="I61" s="75" t="str">
        <x:f>IF(H61=0,"",SUMIFS('Material_Requirements'!$Q$2:$Q$626,'Material_Requirements'!$E$2:$E$626,A61))</x:f>
      </x:c>
      <x:c r="J61" s="76" t="n">
        <x:f>IF(F61=0,C61+E61,AGGREGATE(15,6,'Material_Requirements'!$O$2:$O$626/('Material_Requirements'!$E$2:$E$626=A61),1))</x:f>
        <x:v>0</x:v>
      </x:c>
      <x:c r="K61" s="71" t="str">
        <x:f>IF(H61&gt;0,"SHORT",IF(COUNTIFS('Material_Requirements'!$E$2:$E$626,A61,'Material_Requirements'!$P$2:$P$626,"BELOW TARGET")&gt;0,"BELOW TARGET","COVERED"))</x:f>
        <x:v>COVERED</x:v>
      </x:c>
    </x:row>
    <x:row r="62" ht="15" customHeight="1">
      <x:c r="A62" s="71" t="str">
        <x:v>RM-060</x:v>
      </x:c>
      <x:c r="B62" s="71" t="str">
        <x:f>IFERROR(INDEX('Inventory'!$B$2:$B$71,MATCH(A62,'Inventory'!$A$2:$A$71,0)),"")</x:f>
        <x:v>Packaging 060</x:v>
      </x:c>
      <x:c r="C62" s="76" t="n">
        <x:f>IFERROR(INDEX('Inventory'!$E$2:$E$71,MATCH(A62,'Inventory'!$A$2:$A$71,0)),0)</x:f>
        <x:v>17534</x:v>
      </x:c>
      <x:c r="D62" s="76" t="n">
        <x:f>IFERROR(INDEX('Inventory'!$F$2:$F$71,MATCH(A62,'Inventory'!$A$2:$A$71,0)),0)</x:f>
        <x:v>189</x:v>
      </x:c>
      <x:c r="E62" s="76" t="n">
        <x:f>SUMIFS('Open_POs'!$D$2:$D$26,'Open_POs'!$B$2:$B$26,A62)</x:f>
        <x:v>5000</x:v>
      </x:c>
      <x:c r="F62" s="76" t="n">
        <x:f>SUMIFS('Material_Requirements'!$I$2:$I$626,'Material_Requirements'!$E$2:$E$626,A62)</x:f>
        <x:v>17048.399999999998</x:v>
      </x:c>
      <x:c r="G62" s="76" t="n">
        <x:f>C62+E62-F62</x:f>
        <x:v>5485.600000000002</x:v>
      </x:c>
      <x:c r="H62" s="76" t="n">
        <x:f>COUNTIFS('Material_Requirements'!$E$2:$E$626,A62,'Material_Requirements'!$P$2:$P$626,"SHORT")</x:f>
        <x:v>0</x:v>
      </x:c>
      <x:c r="I62" s="75" t="str">
        <x:f>IF(H62=0,"",SUMIFS('Material_Requirements'!$Q$2:$Q$626,'Material_Requirements'!$E$2:$E$626,A62))</x:f>
      </x:c>
      <x:c r="J62" s="76" t="n">
        <x:f>IF(F62=0,C62+E62,AGGREGATE(15,6,'Material_Requirements'!$O$2:$O$626/('Material_Requirements'!$E$2:$E$626=A62),1))</x:f>
        <x:v>0</x:v>
      </x:c>
      <x:c r="K62" s="71" t="str">
        <x:f>IF(H62&gt;0,"SHORT",IF(COUNTIFS('Material_Requirements'!$E$2:$E$626,A62,'Material_Requirements'!$P$2:$P$626,"BELOW TARGET")&gt;0,"BELOW TARGET","COVERED"))</x:f>
        <x:v>COVERED</x:v>
      </x:c>
    </x:row>
    <x:row r="63" ht="15" customHeight="1">
      <x:c r="A63" s="71" t="str">
        <x:v>RM-043</x:v>
      </x:c>
      <x:c r="B63" s="71" t="str">
        <x:f>IFERROR(INDEX('Inventory'!$B$2:$B$71,MATCH(A63,'Inventory'!$A$2:$A$71,0)),"")</x:f>
        <x:v>Filler 043</x:v>
      </x:c>
      <x:c r="C63" s="76" t="n">
        <x:f>IFERROR(INDEX('Inventory'!$E$2:$E$71,MATCH(A63,'Inventory'!$A$2:$A$71,0)),0)</x:f>
        <x:v>9111</x:v>
      </x:c>
      <x:c r="D63" s="76" t="n">
        <x:f>IFERROR(INDEX('Inventory'!$F$2:$F$71,MATCH(A63,'Inventory'!$A$2:$A$71,0)),0)</x:f>
        <x:v>457</x:v>
      </x:c>
      <x:c r="E63" s="76" t="n">
        <x:f>SUMIFS('Open_POs'!$D$2:$D$26,'Open_POs'!$B$2:$B$26,A63)</x:f>
        <x:v>0</x:v>
      </x:c>
      <x:c r="F63" s="76" t="n">
        <x:f>SUMIFS('Material_Requirements'!$I$2:$I$626,'Material_Requirements'!$E$2:$E$626,A63)</x:f>
        <x:v>3059.6</x:v>
      </x:c>
      <x:c r="G63" s="76" t="n">
        <x:f>C63+E63-F63</x:f>
        <x:v>6051.4</x:v>
      </x:c>
      <x:c r="H63" s="76" t="n">
        <x:f>COUNTIFS('Material_Requirements'!$E$2:$E$626,A63,'Material_Requirements'!$P$2:$P$626,"SHORT")</x:f>
        <x:v>0</x:v>
      </x:c>
      <x:c r="I63" s="75" t="str">
        <x:f>IF(H63=0,"",SUMIFS('Material_Requirements'!$Q$2:$Q$626,'Material_Requirements'!$E$2:$E$626,A63))</x:f>
      </x:c>
      <x:c r="J63" s="76" t="n">
        <x:f>IF(F63=0,C63+E63,AGGREGATE(15,6,'Material_Requirements'!$O$2:$O$626/('Material_Requirements'!$E$2:$E$626=A63),1))</x:f>
        <x:v>0</x:v>
      </x:c>
      <x:c r="K63" s="71" t="str">
        <x:f>IF(H63&gt;0,"SHORT",IF(COUNTIFS('Material_Requirements'!$E$2:$E$626,A63,'Material_Requirements'!$P$2:$P$626,"BELOW TARGET")&gt;0,"BELOW TARGET","COVERED"))</x:f>
        <x:v>COVERED</x:v>
      </x:c>
    </x:row>
    <x:row r="64" ht="15" customHeight="1">
      <x:c r="A64" s="71" t="str">
        <x:v>RM-045</x:v>
      </x:c>
      <x:c r="B64" s="71" t="str">
        <x:f>IFERROR(INDEX('Inventory'!$B$2:$B$71,MATCH(A64,'Inventory'!$A$2:$A$71,0)),"")</x:f>
        <x:v>Packaging 045</x:v>
      </x:c>
      <x:c r="C64" s="76" t="n">
        <x:f>IFERROR(INDEX('Inventory'!$E$2:$E$71,MATCH(A64,'Inventory'!$A$2:$A$71,0)),0)</x:f>
        <x:v>16745</x:v>
      </x:c>
      <x:c r="D64" s="76" t="n">
        <x:f>IFERROR(INDEX('Inventory'!$F$2:$F$71,MATCH(A64,'Inventory'!$A$2:$A$71,0)),0)</x:f>
        <x:v>634</x:v>
      </x:c>
      <x:c r="E64" s="76" t="n">
        <x:f>SUMIFS('Open_POs'!$D$2:$D$26,'Open_POs'!$B$2:$B$26,A64)</x:f>
        <x:v>0</x:v>
      </x:c>
      <x:c r="F64" s="76" t="n">
        <x:f>SUMIFS('Material_Requirements'!$I$2:$I$626,'Material_Requirements'!$E$2:$E$626,A64)</x:f>
        <x:v>9279.6</x:v>
      </x:c>
      <x:c r="G64" s="76" t="n">
        <x:f>C64+E64-F64</x:f>
        <x:v>7465.4</x:v>
      </x:c>
      <x:c r="H64" s="76" t="n">
        <x:f>COUNTIFS('Material_Requirements'!$E$2:$E$626,A64,'Material_Requirements'!$P$2:$P$626,"SHORT")</x:f>
        <x:v>0</x:v>
      </x:c>
      <x:c r="I64" s="75" t="str">
        <x:f>IF(H64=0,"",SUMIFS('Material_Requirements'!$Q$2:$Q$626,'Material_Requirements'!$E$2:$E$626,A64))</x:f>
      </x:c>
      <x:c r="J64" s="76" t="n">
        <x:f>IF(F64=0,C64+E64,AGGREGATE(15,6,'Material_Requirements'!$O$2:$O$626/('Material_Requirements'!$E$2:$E$626=A64),1))</x:f>
        <x:v>0</x:v>
      </x:c>
      <x:c r="K64" s="71" t="str">
        <x:f>IF(H64&gt;0,"SHORT",IF(COUNTIFS('Material_Requirements'!$E$2:$E$626,A64,'Material_Requirements'!$P$2:$P$626,"BELOW TARGET")&gt;0,"BELOW TARGET","COVERED"))</x:f>
        <x:v>COVERED</x:v>
      </x:c>
    </x:row>
    <x:row r="65" ht="15" customHeight="1">
      <x:c r="A65" s="71" t="str">
        <x:v>RM-051</x:v>
      </x:c>
      <x:c r="B65" s="71" t="str">
        <x:f>IFERROR(INDEX('Inventory'!$B$2:$B$71,MATCH(A65,'Inventory'!$A$2:$A$71,0)),"")</x:f>
        <x:v>Resin 051</x:v>
      </x:c>
      <x:c r="C65" s="76" t="n">
        <x:f>IFERROR(INDEX('Inventory'!$E$2:$E$71,MATCH(A65,'Inventory'!$A$2:$A$71,0)),0)</x:f>
        <x:v>5180</x:v>
      </x:c>
      <x:c r="D65" s="76" t="n">
        <x:f>IFERROR(INDEX('Inventory'!$F$2:$F$71,MATCH(A65,'Inventory'!$A$2:$A$71,0)),0)</x:f>
        <x:v>261</x:v>
      </x:c>
      <x:c r="E65" s="76" t="n">
        <x:f>SUMIFS('Open_POs'!$D$2:$D$26,'Open_POs'!$B$2:$B$26,A65)</x:f>
        <x:v>2500</x:v>
      </x:c>
      <x:c r="F65" s="76" t="n">
        <x:f>SUMIFS('Material_Requirements'!$I$2:$I$626,'Material_Requirements'!$E$2:$E$626,A65)</x:f>
        <x:v>0</x:v>
      </x:c>
      <x:c r="G65" s="76" t="n">
        <x:f>C65+E65-F65</x:f>
        <x:v>7680</x:v>
      </x:c>
      <x:c r="H65" s="76" t="n">
        <x:f>COUNTIFS('Material_Requirements'!$E$2:$E$626,A65,'Material_Requirements'!$P$2:$P$626,"SHORT")</x:f>
        <x:v>0</x:v>
      </x:c>
      <x:c r="I65" s="75" t="str">
        <x:f>IF(H65=0,"",SUMIFS('Material_Requirements'!$Q$2:$Q$626,'Material_Requirements'!$E$2:$E$626,A65))</x:f>
      </x:c>
      <x:c r="J65" s="76" t="n">
        <x:f>IF(F65=0,C65+E65,AGGREGATE(15,6,'Material_Requirements'!$O$2:$O$626/('Material_Requirements'!$E$2:$E$626=A65),1))</x:f>
        <x:v>7680</x:v>
      </x:c>
      <x:c r="K65" s="71" t="str">
        <x:f>IF(H65&gt;0,"SHORT",IF(COUNTIFS('Material_Requirements'!$E$2:$E$626,A65,'Material_Requirements'!$P$2:$P$626,"BELOW TARGET")&gt;0,"BELOW TARGET","COVERED"))</x:f>
        <x:v>COVERED</x:v>
      </x:c>
    </x:row>
    <x:row r="66" ht="15" customHeight="1">
      <x:c r="A66" s="71" t="str">
        <x:v>RM-017</x:v>
      </x:c>
      <x:c r="B66" s="71" t="str">
        <x:f>IFERROR(INDEX('Inventory'!$B$2:$B$71,MATCH(A66,'Inventory'!$A$2:$A$71,0)),"")</x:f>
        <x:v>Pigment 017</x:v>
      </x:c>
      <x:c r="C66" s="76" t="n">
        <x:f>IFERROR(INDEX('Inventory'!$E$2:$E$71,MATCH(A66,'Inventory'!$A$2:$A$71,0)),0)</x:f>
        <x:v>7965</x:v>
      </x:c>
      <x:c r="D66" s="76" t="n">
        <x:f>IFERROR(INDEX('Inventory'!$F$2:$F$71,MATCH(A66,'Inventory'!$A$2:$A$71,0)),0)</x:f>
        <x:v>678</x:v>
      </x:c>
      <x:c r="E66" s="76" t="n">
        <x:f>SUMIFS('Open_POs'!$D$2:$D$26,'Open_POs'!$B$2:$B$26,A66)</x:f>
        <x:v>0</x:v>
      </x:c>
      <x:c r="F66" s="76" t="n">
        <x:f>SUMIFS('Material_Requirements'!$I$2:$I$626,'Material_Requirements'!$E$2:$E$626,A66)</x:f>
        <x:v>0</x:v>
      </x:c>
      <x:c r="G66" s="76" t="n">
        <x:f>C66+E66-F66</x:f>
        <x:v>7965</x:v>
      </x:c>
      <x:c r="H66" s="76" t="n">
        <x:f>COUNTIFS('Material_Requirements'!$E$2:$E$626,A66,'Material_Requirements'!$P$2:$P$626,"SHORT")</x:f>
        <x:v>0</x:v>
      </x:c>
      <x:c r="I66" s="75" t="str">
        <x:f>IF(H66=0,"",SUMIFS('Material_Requirements'!$Q$2:$Q$626,'Material_Requirements'!$E$2:$E$626,A66))</x:f>
      </x:c>
      <x:c r="J66" s="76" t="n">
        <x:f>IF(F66=0,C66+E66,AGGREGATE(15,6,'Material_Requirements'!$O$2:$O$626/('Material_Requirements'!$E$2:$E$626=A66),1))</x:f>
        <x:v>7965</x:v>
      </x:c>
      <x:c r="K66" s="71" t="str">
        <x:f>IF(H66&gt;0,"SHORT",IF(COUNTIFS('Material_Requirements'!$E$2:$E$626,A66,'Material_Requirements'!$P$2:$P$626,"BELOW TARGET")&gt;0,"BELOW TARGET","COVERED"))</x:f>
        <x:v>COVERED</x:v>
      </x:c>
    </x:row>
    <x:row r="67" ht="15" customHeight="1">
      <x:c r="A67" s="71" t="str">
        <x:v>RM-018</x:v>
      </x:c>
      <x:c r="B67" s="71" t="str">
        <x:f>IFERROR(INDEX('Inventory'!$B$2:$B$71,MATCH(A67,'Inventory'!$A$2:$A$71,0)),"")</x:f>
        <x:v>Filler 018</x:v>
      </x:c>
      <x:c r="C67" s="76" t="n">
        <x:f>IFERROR(INDEX('Inventory'!$E$2:$E$71,MATCH(A67,'Inventory'!$A$2:$A$71,0)),0)</x:f>
        <x:v>17607</x:v>
      </x:c>
      <x:c r="D67" s="76" t="n">
        <x:f>IFERROR(INDEX('Inventory'!$F$2:$F$71,MATCH(A67,'Inventory'!$A$2:$A$71,0)),0)</x:f>
        <x:v>302</x:v>
      </x:c>
      <x:c r="E67" s="76" t="n">
        <x:f>SUMIFS('Open_POs'!$D$2:$D$26,'Open_POs'!$B$2:$B$26,A67)</x:f>
        <x:v>10000</x:v>
      </x:c>
      <x:c r="F67" s="76" t="n">
        <x:f>SUMIFS('Material_Requirements'!$I$2:$I$626,'Material_Requirements'!$E$2:$E$626,A67)</x:f>
        <x:v>15467.6</x:v>
      </x:c>
      <x:c r="G67" s="76" t="n">
        <x:f>C67+E67-F67</x:f>
        <x:v>12139.4</x:v>
      </x:c>
      <x:c r="H67" s="76" t="n">
        <x:f>COUNTIFS('Material_Requirements'!$E$2:$E$626,A67,'Material_Requirements'!$P$2:$P$626,"SHORT")</x:f>
        <x:v>0</x:v>
      </x:c>
      <x:c r="I67" s="75" t="str">
        <x:f>IF(H67=0,"",SUMIFS('Material_Requirements'!$Q$2:$Q$626,'Material_Requirements'!$E$2:$E$626,A67))</x:f>
      </x:c>
      <x:c r="J67" s="76" t="n">
        <x:f>IF(F67=0,C67+E67,AGGREGATE(15,6,'Material_Requirements'!$O$2:$O$626/('Material_Requirements'!$E$2:$E$626=A67),1))</x:f>
        <x:v>0</x:v>
      </x:c>
      <x:c r="K67" s="71" t="str">
        <x:f>IF(H67&gt;0,"SHORT",IF(COUNTIFS('Material_Requirements'!$E$2:$E$626,A67,'Material_Requirements'!$P$2:$P$626,"BELOW TARGET")&gt;0,"BELOW TARGET","COVERED"))</x:f>
        <x:v>COVERED</x:v>
      </x:c>
    </x:row>
    <x:row r="68" ht="15" customHeight="1">
      <x:c r="A68" s="71" t="str">
        <x:v>RM-028</x:v>
      </x:c>
      <x:c r="B68" s="71" t="str">
        <x:f>IFERROR(INDEX('Inventory'!$B$2:$B$71,MATCH(A68,'Inventory'!$A$2:$A$71,0)),"")</x:f>
        <x:v>Filler 028</x:v>
      </x:c>
      <x:c r="C68" s="76" t="n">
        <x:f>IFERROR(INDEX('Inventory'!$E$2:$E$71,MATCH(A68,'Inventory'!$A$2:$A$71,0)),0)</x:f>
        <x:v>14836</x:v>
      </x:c>
      <x:c r="D68" s="76" t="n">
        <x:f>IFERROR(INDEX('Inventory'!$F$2:$F$71,MATCH(A68,'Inventory'!$A$2:$A$71,0)),0)</x:f>
        <x:v>1498</x:v>
      </x:c>
      <x:c r="E68" s="76" t="n">
        <x:f>SUMIFS('Open_POs'!$D$2:$D$26,'Open_POs'!$B$2:$B$26,A68)</x:f>
        <x:v>1000</x:v>
      </x:c>
      <x:c r="F68" s="76" t="n">
        <x:f>SUMIFS('Material_Requirements'!$I$2:$I$626,'Material_Requirements'!$E$2:$E$626,A68)</x:f>
        <x:v>5444.099999999999</x:v>
      </x:c>
      <x:c r="G68" s="76" t="n">
        <x:f>C68+E68-F68</x:f>
        <x:v>10391.900000000001</x:v>
      </x:c>
      <x:c r="H68" s="76" t="n">
        <x:f>COUNTIFS('Material_Requirements'!$E$2:$E$626,A68,'Material_Requirements'!$P$2:$P$626,"SHORT")</x:f>
        <x:v>0</x:v>
      </x:c>
      <x:c r="I68" s="75" t="str">
        <x:f>IF(H68=0,"",SUMIFS('Material_Requirements'!$Q$2:$Q$626,'Material_Requirements'!$E$2:$E$626,A68))</x:f>
      </x:c>
      <x:c r="J68" s="76" t="n">
        <x:f>IF(F68=0,C68+E68,AGGREGATE(15,6,'Material_Requirements'!$O$2:$O$626/('Material_Requirements'!$E$2:$E$626=A68),1))</x:f>
        <x:v>0</x:v>
      </x:c>
      <x:c r="K68" s="71" t="str">
        <x:f>IF(H68&gt;0,"SHORT",IF(COUNTIFS('Material_Requirements'!$E$2:$E$626,A68,'Material_Requirements'!$P$2:$P$626,"BELOW TARGET")&gt;0,"BELOW TARGET","COVERED"))</x:f>
        <x:v>COVERED</x:v>
      </x:c>
    </x:row>
    <x:row r="69" ht="15" customHeight="1">
      <x:c r="A69" s="71" t="str">
        <x:v>RM-002</x:v>
      </x:c>
      <x:c r="B69" s="71" t="str">
        <x:f>IFERROR(INDEX('Inventory'!$B$2:$B$71,MATCH(A69,'Inventory'!$A$2:$A$71,0)),"")</x:f>
        <x:v>Pigment 002</x:v>
      </x:c>
      <x:c r="C69" s="76" t="n">
        <x:f>IFERROR(INDEX('Inventory'!$E$2:$E$71,MATCH(A69,'Inventory'!$A$2:$A$71,0)),0)</x:f>
        <x:v>10772</x:v>
      </x:c>
      <x:c r="D69" s="76" t="n">
        <x:f>IFERROR(INDEX('Inventory'!$F$2:$F$71,MATCH(A69,'Inventory'!$A$2:$A$71,0)),0)</x:f>
        <x:v>597</x:v>
      </x:c>
      <x:c r="E69" s="76" t="n">
        <x:f>SUMIFS('Open_POs'!$D$2:$D$26,'Open_POs'!$B$2:$B$26,A69)</x:f>
        <x:v>0</x:v>
      </x:c>
      <x:c r="F69" s="76" t="n">
        <x:f>SUMIFS('Material_Requirements'!$I$2:$I$626,'Material_Requirements'!$E$2:$E$626,A69)</x:f>
        <x:v>0</x:v>
      </x:c>
      <x:c r="G69" s="76" t="n">
        <x:f>C69+E69-F69</x:f>
        <x:v>10772</x:v>
      </x:c>
      <x:c r="H69" s="76" t="n">
        <x:f>COUNTIFS('Material_Requirements'!$E$2:$E$626,A69,'Material_Requirements'!$P$2:$P$626,"SHORT")</x:f>
        <x:v>0</x:v>
      </x:c>
      <x:c r="I69" s="75" t="str">
        <x:f>IF(H69=0,"",SUMIFS('Material_Requirements'!$Q$2:$Q$626,'Material_Requirements'!$E$2:$E$626,A69))</x:f>
      </x:c>
      <x:c r="J69" s="76" t="n">
        <x:f>IF(F69=0,C69+E69,AGGREGATE(15,6,'Material_Requirements'!$O$2:$O$626/('Material_Requirements'!$E$2:$E$626=A69),1))</x:f>
        <x:v>10772</x:v>
      </x:c>
      <x:c r="K69" s="71" t="str">
        <x:f>IF(H69&gt;0,"SHORT",IF(COUNTIFS('Material_Requirements'!$E$2:$E$626,A69,'Material_Requirements'!$P$2:$P$626,"BELOW TARGET")&gt;0,"BELOW TARGET","COVERED"))</x:f>
        <x:v>COVERED</x:v>
      </x:c>
    </x:row>
    <x:row r="70" ht="15" customHeight="1">
      <x:c r="A70" s="71" t="str">
        <x:v>RM-068</x:v>
      </x:c>
      <x:c r="B70" s="71" t="str">
        <x:f>IFERROR(INDEX('Inventory'!$B$2:$B$71,MATCH(A70,'Inventory'!$A$2:$A$71,0)),"")</x:f>
        <x:v>Filler 068</x:v>
      </x:c>
      <x:c r="C70" s="76" t="n">
        <x:f>IFERROR(INDEX('Inventory'!$E$2:$E$71,MATCH(A70,'Inventory'!$A$2:$A$71,0)),0)</x:f>
        <x:v>14253</x:v>
      </x:c>
      <x:c r="D70" s="76" t="n">
        <x:f>IFERROR(INDEX('Inventory'!$F$2:$F$71,MATCH(A70,'Inventory'!$A$2:$A$71,0)),0)</x:f>
        <x:v>1138</x:v>
      </x:c>
      <x:c r="E70" s="76" t="n">
        <x:f>SUMIFS('Open_POs'!$D$2:$D$26,'Open_POs'!$B$2:$B$26,A70)</x:f>
        <x:v>0</x:v>
      </x:c>
      <x:c r="F70" s="76" t="n">
        <x:f>SUMIFS('Material_Requirements'!$I$2:$I$626,'Material_Requirements'!$E$2:$E$626,A70)</x:f>
        <x:v>0</x:v>
      </x:c>
      <x:c r="G70" s="76" t="n">
        <x:f>C70+E70-F70</x:f>
        <x:v>14253</x:v>
      </x:c>
      <x:c r="H70" s="76" t="n">
        <x:f>COUNTIFS('Material_Requirements'!$E$2:$E$626,A70,'Material_Requirements'!$P$2:$P$626,"SHORT")</x:f>
        <x:v>0</x:v>
      </x:c>
      <x:c r="I70" s="75" t="str">
        <x:f>IF(H70=0,"",SUMIFS('Material_Requirements'!$Q$2:$Q$626,'Material_Requirements'!$E$2:$E$626,A70))</x:f>
      </x:c>
      <x:c r="J70" s="76" t="n">
        <x:f>IF(F70=0,C70+E70,AGGREGATE(15,6,'Material_Requirements'!$O$2:$O$626/('Material_Requirements'!$E$2:$E$626=A70),1))</x:f>
        <x:v>14253</x:v>
      </x:c>
      <x:c r="K70" s="71" t="str">
        <x:f>IF(H70&gt;0,"SHORT",IF(COUNTIFS('Material_Requirements'!$E$2:$E$626,A70,'Material_Requirements'!$P$2:$P$626,"BELOW TARGET")&gt;0,"BELOW TARGET","COVERED"))</x:f>
        <x:v>COVERED</x:v>
      </x:c>
    </x:row>
    <x:row r="71" ht="15" customHeight="1">
      <x:c r="A71" s="71" t="str">
        <x:v>RM-012</x:v>
      </x:c>
      <x:c r="B71" s="71" t="str">
        <x:f>IFERROR(INDEX('Inventory'!$B$2:$B$71,MATCH(A71,'Inventory'!$A$2:$A$71,0)),"")</x:f>
        <x:v>Pigment 012</x:v>
      </x:c>
      <x:c r="C71" s="76" t="n">
        <x:f>IFERROR(INDEX('Inventory'!$E$2:$E$71,MATCH(A71,'Inventory'!$A$2:$A$71,0)),0)</x:f>
        <x:v>17683</x:v>
      </x:c>
      <x:c r="D71" s="76" t="n">
        <x:f>IFERROR(INDEX('Inventory'!$F$2:$F$71,MATCH(A71,'Inventory'!$A$2:$A$71,0)),0)</x:f>
        <x:v>814</x:v>
      </x:c>
      <x:c r="E71" s="76" t="n">
        <x:f>SUMIFS('Open_POs'!$D$2:$D$26,'Open_POs'!$B$2:$B$26,A71)</x:f>
        <x:v>0</x:v>
      </x:c>
      <x:c r="F71" s="76" t="n">
        <x:f>SUMIFS('Material_Requirements'!$I$2:$I$626,'Material_Requirements'!$E$2:$E$626,A71)</x:f>
        <x:v>3064</x:v>
      </x:c>
      <x:c r="G71" s="76" t="n">
        <x:f>C71+E71-F71</x:f>
        <x:v>14619</x:v>
      </x:c>
      <x:c r="H71" s="76" t="n">
        <x:f>COUNTIFS('Material_Requirements'!$E$2:$E$626,A71,'Material_Requirements'!$P$2:$P$626,"SHORT")</x:f>
        <x:v>0</x:v>
      </x:c>
      <x:c r="I71" s="75" t="str">
        <x:f>IF(H71=0,"",SUMIFS('Material_Requirements'!$Q$2:$Q$626,'Material_Requirements'!$E$2:$E$626,A71))</x:f>
      </x:c>
      <x:c r="J71" s="76" t="n">
        <x:f>IF(F71=0,C71+E71,AGGREGATE(15,6,'Material_Requirements'!$O$2:$O$626/('Material_Requirements'!$E$2:$E$626=A71),1))</x:f>
        <x:v>0</x:v>
      </x:c>
      <x:c r="K71" s="71" t="str">
        <x:f>IF(H71&gt;0,"SHORT",IF(COUNTIFS('Material_Requirements'!$E$2:$E$626,A71,'Material_Requirements'!$P$2:$P$626,"BELOW TARGET")&gt;0,"BELOW TARGET","COVERED"))</x:f>
        <x:v>COVERED</x:v>
      </x:c>
    </x:row>
  </x:sheetData>
  <x:conditionalFormatting sqref="K2:K71">
    <x:cfRule type="containsText" dxfId="18" priority="1" operator="containsText" text="SHORT"/>
    <x:cfRule type="containsText" dxfId="19" priority="2" operator="containsText" text="BELOW TARGET"/>
    <x:cfRule type="containsText" dxfId="20" priority="3" operator="containsText" text="COVERED"/>
  </x:conditionalFormatting>
  <x:pageMargins left="0.7" right="0.7" top="0.75" bottom="0.75" header="0.3" footer="0.3"/>
  <x:tableParts count="1">
    <x:tablePart xmlns:r="http://schemas.openxmlformats.org/officeDocument/2006/relationships" r:id="Rf887668c2adc47b0"/>
  </x:tableParts>
</x:worksheet>
</file>